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charts/chartEx3.xml" ContentType="application/vnd.ms-office.chartex+xml"/>
  <Override PartName="/xl/charts/style7.xml" ContentType="application/vnd.ms-office.chartstyle+xml"/>
  <Override PartName="/xl/charts/colors7.xml" ContentType="application/vnd.ms-office.chartcolorstyle+xml"/>
  <Override PartName="/xl/charts/chart5.xml" ContentType="application/vnd.openxmlformats-officedocument.drawingml.chart+xml"/>
  <Override PartName="/xl/charts/style8.xml" ContentType="application/vnd.ms-office.chartstyle+xml"/>
  <Override PartName="/xl/charts/colors8.xml" ContentType="application/vnd.ms-office.chartcolorstyle+xml"/>
  <Override PartName="/xl/charts/chart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ndre\Downloads\"/>
    </mc:Choice>
  </mc:AlternateContent>
  <xr:revisionPtr revIDLastSave="0" documentId="8_{44A41BCE-CDEB-4715-8688-EF1A7B982237}" xr6:coauthVersionLast="47" xr6:coauthVersionMax="47" xr10:uidLastSave="{00000000-0000-0000-0000-000000000000}"/>
  <bookViews>
    <workbookView xWindow="3120" yWindow="960" windowWidth="15255" windowHeight="15240" tabRatio="500" xr2:uid="{00000000-000D-0000-FFFF-FFFF00000000}"/>
  </bookViews>
  <sheets>
    <sheet name="Exe Sum" sheetId="1" r:id="rId1"/>
    <sheet name="Memo" sheetId="10" r:id="rId2"/>
    <sheet name="Charts" sheetId="3" r:id="rId3"/>
    <sheet name="Inputs" sheetId="2" r:id="rId4"/>
    <sheet name="Val_WBD" sheetId="5" r:id="rId5"/>
    <sheet name="Val_PSKY" sheetId="4" r:id="rId6"/>
    <sheet name="Deal_Model" sheetId="7" r:id="rId7"/>
    <sheet name="Val_Combined" sheetId="6" r:id="rId8"/>
    <sheet name="Comparative_Valuation" sheetId="8" r:id="rId9"/>
    <sheet name="Master_Key" sheetId="9" r:id="rId10"/>
  </sheets>
  <definedNames>
    <definedName name="_xlchart.v1.0" hidden="1">Comparative_Valuation!$A$5:$A$7</definedName>
    <definedName name="_xlchart.v1.1" hidden="1">Comparative_Valuation!$E$5:$E$7</definedName>
    <definedName name="_xlchart.v1.2" hidden="1">Comparative_Valuation!$A$5:$A$7</definedName>
    <definedName name="_xlchart.v1.3" hidden="1">Comparative_Valuation!$D$5:$D$7</definedName>
    <definedName name="_xlchart.v2.4" hidden="1">Master_Key!$A$5:$A$7</definedName>
    <definedName name="_xlchart.v2.5" hidden="1">Master_Key!$F$5:$F$7</definedName>
    <definedName name="_xlnm.Print_Titles" localSheetId="6">Deal_Model!$1:$1</definedName>
    <definedName name="_xlnm.Print_Titles" localSheetId="3">Inputs!$1:$1</definedName>
    <definedName name="_xlnm.Print_Titles" localSheetId="7">Val_Combined!$1:$1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7" i="7" l="1"/>
  <c r="B26" i="7"/>
  <c r="B25" i="7"/>
  <c r="B10" i="7"/>
  <c r="B8" i="7"/>
  <c r="B6" i="7"/>
  <c r="B5" i="7"/>
  <c r="B4" i="7"/>
  <c r="B9" i="7" s="1"/>
  <c r="B3" i="7"/>
  <c r="B19" i="6"/>
  <c r="B18" i="6"/>
  <c r="B17" i="6"/>
  <c r="B20" i="6" s="1"/>
  <c r="B39" i="5"/>
  <c r="B19" i="5"/>
  <c r="B18" i="5"/>
  <c r="B17" i="5"/>
  <c r="B20" i="5" s="1"/>
  <c r="B13" i="5"/>
  <c r="B12" i="5"/>
  <c r="B37" i="5" s="1"/>
  <c r="B11" i="5"/>
  <c r="B45" i="5" s="1"/>
  <c r="E10" i="5"/>
  <c r="B10" i="5"/>
  <c r="E9" i="5"/>
  <c r="B9" i="5"/>
  <c r="E8" i="5"/>
  <c r="B8" i="5"/>
  <c r="E7" i="5"/>
  <c r="B7" i="5"/>
  <c r="E6" i="5"/>
  <c r="B6" i="5"/>
  <c r="E5" i="5"/>
  <c r="B5" i="5"/>
  <c r="B25" i="5" s="1"/>
  <c r="B39" i="4"/>
  <c r="B25" i="4"/>
  <c r="H25" i="4" s="1"/>
  <c r="B19" i="4"/>
  <c r="B18" i="4"/>
  <c r="B17" i="4"/>
  <c r="B20" i="4" s="1"/>
  <c r="B13" i="4"/>
  <c r="B12" i="4"/>
  <c r="B37" i="4" s="1"/>
  <c r="B11" i="4"/>
  <c r="B45" i="4" s="1"/>
  <c r="E10" i="4"/>
  <c r="B10" i="4"/>
  <c r="E9" i="4"/>
  <c r="B9" i="4"/>
  <c r="E8" i="4"/>
  <c r="B8" i="4"/>
  <c r="E7" i="4"/>
  <c r="B7" i="4"/>
  <c r="E6" i="4"/>
  <c r="B6" i="4"/>
  <c r="E5" i="4"/>
  <c r="B5" i="4"/>
  <c r="E34" i="4" s="1"/>
  <c r="E12" i="3"/>
  <c r="D20" i="2"/>
  <c r="E10" i="6" s="1"/>
  <c r="D19" i="2"/>
  <c r="E9" i="6" s="1"/>
  <c r="D18" i="2"/>
  <c r="E8" i="6" s="1"/>
  <c r="D17" i="2"/>
  <c r="E7" i="6" s="1"/>
  <c r="D16" i="2"/>
  <c r="E6" i="6" s="1"/>
  <c r="D15" i="2"/>
  <c r="E5" i="6" s="1"/>
  <c r="D14" i="2"/>
  <c r="B13" i="6" s="1"/>
  <c r="D13" i="2"/>
  <c r="B12" i="6" s="1"/>
  <c r="B37" i="6" s="1"/>
  <c r="D12" i="2"/>
  <c r="D10" i="2"/>
  <c r="B10" i="6" s="1"/>
  <c r="D9" i="2"/>
  <c r="B9" i="6" s="1"/>
  <c r="D8" i="2"/>
  <c r="B8" i="6" s="1"/>
  <c r="D7" i="2"/>
  <c r="B29" i="7" s="1"/>
  <c r="D6" i="2"/>
  <c r="B6" i="6" s="1"/>
  <c r="D5" i="2"/>
  <c r="B5" i="6" s="1"/>
  <c r="B14" i="7" l="1"/>
  <c r="B11" i="7"/>
  <c r="B26" i="5"/>
  <c r="C25" i="5"/>
  <c r="H25" i="5"/>
  <c r="G25" i="5"/>
  <c r="F25" i="5"/>
  <c r="B16" i="7"/>
  <c r="B15" i="7"/>
  <c r="E44" i="5"/>
  <c r="J26" i="5"/>
  <c r="E35" i="5"/>
  <c r="J29" i="5"/>
  <c r="E30" i="5" s="1"/>
  <c r="J25" i="5"/>
  <c r="J28" i="5"/>
  <c r="J27" i="5"/>
  <c r="J29" i="4"/>
  <c r="E30" i="4" s="1"/>
  <c r="J25" i="4"/>
  <c r="J28" i="4"/>
  <c r="J27" i="4"/>
  <c r="E44" i="4"/>
  <c r="J26" i="4"/>
  <c r="E35" i="4"/>
  <c r="J28" i="6"/>
  <c r="J27" i="6"/>
  <c r="E44" i="6"/>
  <c r="J26" i="6"/>
  <c r="E35" i="6"/>
  <c r="J29" i="6"/>
  <c r="E30" i="6" s="1"/>
  <c r="J25" i="6"/>
  <c r="B46" i="7"/>
  <c r="B25" i="6"/>
  <c r="E34" i="6"/>
  <c r="B32" i="7"/>
  <c r="B33" i="7"/>
  <c r="C25" i="4"/>
  <c r="B34" i="7"/>
  <c r="B26" i="4"/>
  <c r="B35" i="7"/>
  <c r="B45" i="7" s="1"/>
  <c r="B47" i="7" s="1"/>
  <c r="B7" i="6"/>
  <c r="F25" i="4"/>
  <c r="E34" i="5"/>
  <c r="G25" i="4"/>
  <c r="B31" i="7"/>
  <c r="B38" i="7" l="1"/>
  <c r="D11" i="2"/>
  <c r="B11" i="6" s="1"/>
  <c r="D25" i="5"/>
  <c r="E25" i="5" s="1"/>
  <c r="C26" i="5"/>
  <c r="H26" i="5"/>
  <c r="G26" i="5"/>
  <c r="F26" i="5"/>
  <c r="B27" i="5"/>
  <c r="B6" i="8"/>
  <c r="B6" i="9"/>
  <c r="B9" i="3"/>
  <c r="E25" i="4"/>
  <c r="D25" i="4"/>
  <c r="B8" i="3"/>
  <c r="B13" i="3" s="1"/>
  <c r="B5" i="8"/>
  <c r="B5" i="9"/>
  <c r="B7" i="8"/>
  <c r="B7" i="9"/>
  <c r="B10" i="3"/>
  <c r="H26" i="4"/>
  <c r="G26" i="4"/>
  <c r="F26" i="4"/>
  <c r="B27" i="4"/>
  <c r="C26" i="4"/>
  <c r="H25" i="6"/>
  <c r="G25" i="6"/>
  <c r="F25" i="6"/>
  <c r="B26" i="6"/>
  <c r="C25" i="6"/>
  <c r="E36" i="5" l="1"/>
  <c r="E37" i="5" s="1"/>
  <c r="E38" i="5" s="1"/>
  <c r="E45" i="5" s="1"/>
  <c r="B44" i="5"/>
  <c r="I25" i="5"/>
  <c r="K25" i="5" s="1"/>
  <c r="F27" i="4"/>
  <c r="B28" i="4"/>
  <c r="C27" i="4"/>
  <c r="H27" i="4"/>
  <c r="G27" i="4"/>
  <c r="D25" i="6"/>
  <c r="E25" i="6" s="1"/>
  <c r="F26" i="6"/>
  <c r="B27" i="6"/>
  <c r="C26" i="6"/>
  <c r="H26" i="6"/>
  <c r="G26" i="6"/>
  <c r="I25" i="4"/>
  <c r="K25" i="4" s="1"/>
  <c r="E36" i="4"/>
  <c r="E37" i="4" s="1"/>
  <c r="E38" i="4" s="1"/>
  <c r="E45" i="4" s="1"/>
  <c r="B44" i="4"/>
  <c r="E26" i="5"/>
  <c r="I26" i="5" s="1"/>
  <c r="K26" i="5" s="1"/>
  <c r="D26" i="5"/>
  <c r="B45" i="6"/>
  <c r="B39" i="6"/>
  <c r="D26" i="4"/>
  <c r="E26" i="4" s="1"/>
  <c r="I26" i="4" s="1"/>
  <c r="K26" i="4" s="1"/>
  <c r="H27" i="5"/>
  <c r="G27" i="5"/>
  <c r="F27" i="5"/>
  <c r="B28" i="5"/>
  <c r="C27" i="5"/>
  <c r="E36" i="6" l="1"/>
  <c r="E37" i="6" s="1"/>
  <c r="E38" i="6" s="1"/>
  <c r="E45" i="6" s="1"/>
  <c r="B44" i="6"/>
  <c r="B46" i="6" s="1"/>
  <c r="E46" i="6" s="1"/>
  <c r="I25" i="6"/>
  <c r="K25" i="6" s="1"/>
  <c r="E27" i="4"/>
  <c r="I27" i="4" s="1"/>
  <c r="K27" i="4" s="1"/>
  <c r="D27" i="4"/>
  <c r="E26" i="6"/>
  <c r="I26" i="6" s="1"/>
  <c r="K26" i="6" s="1"/>
  <c r="D26" i="6"/>
  <c r="B29" i="4"/>
  <c r="C28" i="4"/>
  <c r="H28" i="4"/>
  <c r="G28" i="4"/>
  <c r="F28" i="4"/>
  <c r="G28" i="5"/>
  <c r="F28" i="5"/>
  <c r="B29" i="5"/>
  <c r="C28" i="5"/>
  <c r="H28" i="5"/>
  <c r="B28" i="6"/>
  <c r="C27" i="6"/>
  <c r="H27" i="6"/>
  <c r="G27" i="6"/>
  <c r="F27" i="6"/>
  <c r="E27" i="5"/>
  <c r="I27" i="5" s="1"/>
  <c r="K27" i="5" s="1"/>
  <c r="D27" i="5"/>
  <c r="B20" i="7"/>
  <c r="B46" i="4"/>
  <c r="B21" i="7"/>
  <c r="B46" i="5"/>
  <c r="E46" i="5" s="1"/>
  <c r="C5" i="8"/>
  <c r="C5" i="9"/>
  <c r="C8" i="3"/>
  <c r="B14" i="3" s="1"/>
  <c r="C6" i="9"/>
  <c r="C9" i="3"/>
  <c r="C6" i="8"/>
  <c r="C29" i="5" l="1"/>
  <c r="H29" i="5"/>
  <c r="G29" i="5"/>
  <c r="F29" i="5"/>
  <c r="D9" i="3"/>
  <c r="D6" i="8"/>
  <c r="D6" i="9"/>
  <c r="E46" i="4"/>
  <c r="B40" i="7"/>
  <c r="D27" i="6"/>
  <c r="E27" i="6" s="1"/>
  <c r="I27" i="6" s="1"/>
  <c r="K27" i="6" s="1"/>
  <c r="B22" i="7"/>
  <c r="B37" i="7" s="1"/>
  <c r="B39" i="7" s="1"/>
  <c r="B41" i="7" s="1"/>
  <c r="H28" i="6"/>
  <c r="G28" i="6"/>
  <c r="F28" i="6"/>
  <c r="B29" i="6"/>
  <c r="C28" i="6"/>
  <c r="D28" i="4"/>
  <c r="E28" i="4"/>
  <c r="I28" i="4" s="1"/>
  <c r="K28" i="4" s="1"/>
  <c r="D7" i="8"/>
  <c r="D7" i="9"/>
  <c r="D10" i="3"/>
  <c r="E28" i="5"/>
  <c r="I28" i="5" s="1"/>
  <c r="K28" i="5" s="1"/>
  <c r="D28" i="5"/>
  <c r="H29" i="4"/>
  <c r="G29" i="4"/>
  <c r="F29" i="4"/>
  <c r="C29" i="4"/>
  <c r="C7" i="8"/>
  <c r="C7" i="9"/>
  <c r="C10" i="3"/>
  <c r="D29" i="4" l="1"/>
  <c r="E29" i="4" s="1"/>
  <c r="I29" i="4" s="1"/>
  <c r="D28" i="6"/>
  <c r="E28" i="6" s="1"/>
  <c r="I28" i="6" s="1"/>
  <c r="K28" i="6" s="1"/>
  <c r="D29" i="5"/>
  <c r="E29" i="5" s="1"/>
  <c r="I29" i="5" s="1"/>
  <c r="H29" i="6"/>
  <c r="G29" i="6"/>
  <c r="F29" i="6"/>
  <c r="C29" i="6"/>
  <c r="D5" i="8"/>
  <c r="D5" i="9"/>
  <c r="D8" i="3"/>
  <c r="B15" i="3" s="1"/>
  <c r="B30" i="5" l="1"/>
  <c r="C30" i="5" s="1"/>
  <c r="G30" i="5" s="1"/>
  <c r="B35" i="5" s="1"/>
  <c r="K29" i="5"/>
  <c r="B34" i="5" s="1"/>
  <c r="B30" i="4"/>
  <c r="C30" i="4" s="1"/>
  <c r="G30" i="4" s="1"/>
  <c r="B35" i="4" s="1"/>
  <c r="K29" i="4"/>
  <c r="B34" i="4" s="1"/>
  <c r="B36" i="4" s="1"/>
  <c r="B38" i="4" s="1"/>
  <c r="D29" i="6"/>
  <c r="E29" i="6" s="1"/>
  <c r="I29" i="6" s="1"/>
  <c r="B30" i="6" l="1"/>
  <c r="C30" i="6" s="1"/>
  <c r="G30" i="6" s="1"/>
  <c r="B35" i="6" s="1"/>
  <c r="K29" i="6"/>
  <c r="B34" i="6" s="1"/>
  <c r="B36" i="6" s="1"/>
  <c r="B38" i="6" s="1"/>
  <c r="B36" i="5"/>
  <c r="B38" i="5" s="1"/>
  <c r="E47" i="4"/>
  <c r="B40" i="4"/>
  <c r="E48" i="4" s="1"/>
  <c r="E5" i="8" l="1"/>
  <c r="E5" i="9"/>
  <c r="E8" i="3"/>
  <c r="F5" i="8"/>
  <c r="F5" i="9"/>
  <c r="B40" i="6"/>
  <c r="E48" i="6" s="1"/>
  <c r="E47" i="6"/>
  <c r="B40" i="5"/>
  <c r="E48" i="5" s="1"/>
  <c r="E47" i="5"/>
  <c r="F6" i="8" l="1"/>
  <c r="F6" i="9"/>
  <c r="E7" i="8"/>
  <c r="E7" i="9"/>
  <c r="E10" i="3"/>
  <c r="F7" i="9"/>
  <c r="F10" i="3"/>
  <c r="F7" i="8"/>
  <c r="F8" i="3"/>
  <c r="B17" i="3" s="1"/>
  <c r="B16" i="3"/>
  <c r="E9" i="3"/>
  <c r="F9" i="3" s="1"/>
  <c r="E6" i="8"/>
  <c r="E6" i="9"/>
</calcChain>
</file>

<file path=xl/sharedStrings.xml><?xml version="1.0" encoding="utf-8"?>
<sst xmlns="http://schemas.openxmlformats.org/spreadsheetml/2006/main" count="337" uniqueCount="148">
  <si>
    <t>Merger Case Inputs - Paramount Skydance (PSKY) Acquires Warner Bros. Discovery (WBD)</t>
  </si>
  <si>
    <t>Paramount Skydance (PSKY)</t>
  </si>
  <si>
    <t>Warner Bros. Discovery (WBD)</t>
  </si>
  <si>
    <t>Combined</t>
  </si>
  <si>
    <t>Market &amp; CAPM Assumptions</t>
  </si>
  <si>
    <t>Risk-free Rate</t>
  </si>
  <si>
    <t>Current Revenue (Year 0, $mm)</t>
  </si>
  <si>
    <t>Equity Market Premium</t>
  </si>
  <si>
    <t>EBIT Margin</t>
  </si>
  <si>
    <t>Beta - Paramount Skydance (PSKY)</t>
  </si>
  <si>
    <t>Tax Rate</t>
  </si>
  <si>
    <t>Beta - Warner Bros. Discovery (WBD)</t>
  </si>
  <si>
    <t>Depreciation (% of Revenue)</t>
  </si>
  <si>
    <t>Beta - Combined</t>
  </si>
  <si>
    <t>Capex (% of Revenue)</t>
  </si>
  <si>
    <t>Change in Working Capital (% of Revenue)</t>
  </si>
  <si>
    <t>Shares Outstanding (mm)</t>
  </si>
  <si>
    <t>Current Share Price</t>
  </si>
  <si>
    <t>Net Debt ($mm)</t>
  </si>
  <si>
    <t>Capital as % of Revenue (for EVA)</t>
  </si>
  <si>
    <t>5-Year Revenue Growth Year 1</t>
  </si>
  <si>
    <t>5-Year Revenue Growth Year 2</t>
  </si>
  <si>
    <t>5-Year Revenue Growth Year 3</t>
  </si>
  <si>
    <t>5-Year Revenue Growth Year 4</t>
  </si>
  <si>
    <t>5-Year Revenue Growth Year 5</t>
  </si>
  <si>
    <t>Terminal Growth Rate</t>
  </si>
  <si>
    <t>Deal Terms &amp; Synergy Assumptions</t>
  </si>
  <si>
    <t>Offer Premium to WBD Unaffected Share Price ($12.54 → $31.00)</t>
  </si>
  <si>
    <t>Consideration Type</t>
  </si>
  <si>
    <t>Annual Pre-tax Cost Synergies ($mm)</t>
  </si>
  <si>
    <t>Annual Pre-tax Revenue Synergies ($mm)</t>
  </si>
  <si>
    <t>EBIT Margin on Revenue Synergies</t>
  </si>
  <si>
    <t>Synergy Realization (Year 1-5 as % fully ramped)</t>
  </si>
  <si>
    <t>Year 1</t>
  </si>
  <si>
    <t>Year 2</t>
  </si>
  <si>
    <t>Year 3</t>
  </si>
  <si>
    <t>Year 4</t>
  </si>
  <si>
    <t>Year 5</t>
  </si>
  <si>
    <t>DATA SOURCES &amp; NOTES</t>
  </si>
  <si>
    <t>PSKY Revenue</t>
  </si>
  <si>
    <t>Source: Paramount Skydance (PSKY) FY2025 Results; MacroTrends / StockAnalysis, Mar 2026. TTM revenue $28.9B.</t>
  </si>
  <si>
    <t>PSKY Share Price</t>
  </si>
  <si>
    <t>Source: NASDAQ: PSKY closing price March 26, 2026 = $8.88 (Morningstar/Yahoo Finance)</t>
  </si>
  <si>
    <t>PSKY Shares Outstanding</t>
  </si>
  <si>
    <t>Source: Paramount Skydance press release; 1,111,741,109 shares outstanding as of Mar 2026</t>
  </si>
  <si>
    <t>WBD Revenue</t>
  </si>
  <si>
    <t>Source: Warner Bros. Discovery Q4 2024 Earnings, Feb 27 2025. FY2024 revenue $39.32B</t>
  </si>
  <si>
    <t>WBD Net Debt</t>
  </si>
  <si>
    <t>Source: Warner Bros. Discovery Q4 2024 Earnings Release. Net debt $34.6B as of Dec 31, 2024</t>
  </si>
  <si>
    <t>WBD Deal Price</t>
  </si>
  <si>
    <t>Source: Paramount IR press release, Feb 2026. PSKY to acquire WBD at $31/share cash (147% premium to $12.54 unaffected price)</t>
  </si>
  <si>
    <t>Deal Synergies</t>
  </si>
  <si>
    <t>Source: Paramount/PSKY press release &amp; investor presentations. $6B+ targeted run-rate synergies (cost + revenue combined)</t>
  </si>
  <si>
    <t>Source: US 10-Year Treasury yield, March 2026 ~4.3% (Bloomberg/Fed data)</t>
  </si>
  <si>
    <t>Betas</t>
  </si>
  <si>
    <t>Source: Estimated based on comparable media/streaming companies; PSKY 1.40, WBD 1.50 (higher leverage), Combined 1.35</t>
  </si>
  <si>
    <t>Merger Valuation Dashboard – PSKY Acquires WBD</t>
  </si>
  <si>
    <t>Select Company:</t>
  </si>
  <si>
    <t>Helper Table (Do not modify)</t>
  </si>
  <si>
    <t>Company</t>
  </si>
  <si>
    <t>Cost of Equity</t>
  </si>
  <si>
    <t>EVA PV</t>
  </si>
  <si>
    <t>EPS</t>
  </si>
  <si>
    <t>DCF Equity Value</t>
  </si>
  <si>
    <t>DCF Value per Share</t>
  </si>
  <si>
    <t>Selected Metrics</t>
  </si>
  <si>
    <t>Helper Row Index</t>
  </si>
  <si>
    <t>EVA (PV approx., $mm)</t>
  </si>
  <si>
    <t>EPS (Year 1)</t>
  </si>
  <si>
    <t>DCF Equity Value ($mm)</t>
  </si>
  <si>
    <t>Paramount Skydance (PSKY) Valuation Model</t>
  </si>
  <si>
    <t>Inputs Reference</t>
  </si>
  <si>
    <t>Growth Assumptions</t>
  </si>
  <si>
    <t>Depreciation (% Rev)</t>
  </si>
  <si>
    <t>Capex (% Rev)</t>
  </si>
  <si>
    <t>ΔWC (% Rev)</t>
  </si>
  <si>
    <t>Terminal Growth</t>
  </si>
  <si>
    <t>Capital as % Rev</t>
  </si>
  <si>
    <t>CAPM - Cost of Equity</t>
  </si>
  <si>
    <t>Beta</t>
  </si>
  <si>
    <t>DCF Forecast ($mm)</t>
  </si>
  <si>
    <t>Revenue</t>
  </si>
  <si>
    <t>EBIT</t>
  </si>
  <si>
    <t>Tax</t>
  </si>
  <si>
    <t>NOPAT</t>
  </si>
  <si>
    <t>Depreciation</t>
  </si>
  <si>
    <t>Capex</t>
  </si>
  <si>
    <t>ΔWC</t>
  </si>
  <si>
    <t>FCF</t>
  </si>
  <si>
    <t>Discount Factor</t>
  </si>
  <si>
    <t>PV of FCF</t>
  </si>
  <si>
    <t>Terminal Value</t>
  </si>
  <si>
    <t>Discount Factor (Year 5)</t>
  </si>
  <si>
    <t>PV of Terminal Value</t>
  </si>
  <si>
    <t>DCF Summary</t>
  </si>
  <si>
    <t>EVA Model</t>
  </si>
  <si>
    <t>Sum of PV of FCF (Years 1-5)</t>
  </si>
  <si>
    <t>Capital Base (Year 0, $mm)</t>
  </si>
  <si>
    <t>WACC (approx. = Cost of Equity)</t>
  </si>
  <si>
    <t>Enterprise Value (DCF)</t>
  </si>
  <si>
    <t>NOPAT Year 1</t>
  </si>
  <si>
    <t>Net Debt</t>
  </si>
  <si>
    <t>EVA Year 1</t>
  </si>
  <si>
    <t>Equity Value (DCF)</t>
  </si>
  <si>
    <t>PV of EVA (Years 1-5 approx.)</t>
  </si>
  <si>
    <t>EPS Model</t>
  </si>
  <si>
    <t>Key Outputs (for Comparative &amp; Dashboard)</t>
  </si>
  <si>
    <t>Net Income (approx. = NOPAT Year 1)</t>
  </si>
  <si>
    <t>EVA (PV approx.)</t>
  </si>
  <si>
    <t>Warner Bros. Discovery (WBD) Valuation Model</t>
  </si>
  <si>
    <t>Combined Entity Valuation Model (Post-Merger PSKY + WBD)</t>
  </si>
  <si>
    <t>Deal Terms &amp; Merger Modeling – Paramount Skydance (PSKY) Acquires Warner Bros. Discovery (WBD)</t>
  </si>
  <si>
    <t>Current Share Price – Paramount Skydance (PSKY)</t>
  </si>
  <si>
    <t>Current Share Price – Warner Bros. Discovery (WBD, Unaffected)</t>
  </si>
  <si>
    <t>Shares Outstanding – Paramount Skydance PSKY (mm)</t>
  </si>
  <si>
    <t>Shares Outstanding – Warner Bros. Discovery WBD (mm)</t>
  </si>
  <si>
    <t>Offer Premium to WBD Unaffected Price (147.2%)</t>
  </si>
  <si>
    <t>Offer Price per WBD Share ($31.00 all-cash)</t>
  </si>
  <si>
    <t>Consideration Type (0 = All-Cash, 1 = All-Stock)</t>
  </si>
  <si>
    <t>Implied Exchange Ratio (PSKY shares per WBD share – for ref only)</t>
  </si>
  <si>
    <t>Purchase Consideration &amp; New Shares</t>
  </si>
  <si>
    <t>Total Purchase Equity Value ($mm)</t>
  </si>
  <si>
    <t>New PSKY Shares Issued (mm) — Cash deal: $0</t>
  </si>
  <si>
    <t>Pro Forma PSKY Shares (mm)</t>
  </si>
  <si>
    <t>EPS Impact (Accretion / Dilution)</t>
  </si>
  <si>
    <t>PSKY Standalone Net Income (Year 1, $mm)</t>
  </si>
  <si>
    <t>WBD Standalone Net Income (Year 1, $mm)</t>
  </si>
  <si>
    <t>Combined Standalone Net Income (Year 1, $mm)</t>
  </si>
  <si>
    <t>Synergies (Pre-tax $mm)</t>
  </si>
  <si>
    <t>Annual Cost Synergies (Fully Ramped)</t>
  </si>
  <si>
    <t>Annual Revenue Synergies (Fully Ramped)</t>
  </si>
  <si>
    <t>Combined Tax Rate (approx.)</t>
  </si>
  <si>
    <t>Year 1 After-tax Synergies</t>
  </si>
  <si>
    <t>Year 2 After-tax Synergies</t>
  </si>
  <si>
    <t>Year 3 After-tax Synergies</t>
  </si>
  <si>
    <t>Year 4 After-tax Synergies</t>
  </si>
  <si>
    <t>Year 5 After-tax Synergies</t>
  </si>
  <si>
    <t>Pro Forma Net Income Year 1 (Incl. Synergies)</t>
  </si>
  <si>
    <t>Pro Forma Shares (mm)</t>
  </si>
  <si>
    <t>Pro Forma EPS (Year 1, incl. synergies)</t>
  </si>
  <si>
    <t>PSKY Standalone EPS (Year 1)</t>
  </si>
  <si>
    <t>EPS Accretion / (Dilution)</t>
  </si>
  <si>
    <t>Synergy Valuation (Perpetuity on Fully Ramped Year)</t>
  </si>
  <si>
    <t>Fully Ramped After-tax Synergies (Year 5, $mm)</t>
  </si>
  <si>
    <t>Combined Cost of Equity</t>
  </si>
  <si>
    <t>Synergy PV (Perpetuity, $mm)</t>
  </si>
  <si>
    <t>Comparative Valuation Summary – PSKY / WBD / Combined</t>
  </si>
  <si>
    <t>Key Metrics – Live from Model (PSKY Acquires WBD,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</si>
</sst>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7" x14ac:knownFonts="1">
    <font>
      <sz val="11"/>
      <color theme="1"/>
      <name val="Calibri"/>
      <family val="2"/>
      <charset val="1"/>
    </font>
    <font>
      <sz val="28"/>
      <color theme="1"/>
      <name val="Calibri"/>
      <family val="2"/>
      <charset val="1"/>
    </font>
    <font>
      <b/>
      <sz val="14"/>
      <color theme="1"/>
      <name val="Calibri"/>
      <family val="2"/>
      <charset val="1"/>
    </font>
    <font>
      <b/>
      <sz val="11"/>
      <color theme="1"/>
      <name val="Calibri"/>
      <family val="2"/>
      <charset val="1"/>
    </font>
    <font>
      <b/>
      <sz val="11"/>
      <color rgb="FFFFFFFF"/>
      <name val="Cambria"/>
      <family val="1"/>
      <charset val="1"/>
    </font>
    <font>
      <b/>
      <sz val="11"/>
      <name val="Cambria"/>
      <family val="1"/>
      <charset val="1"/>
    </font>
    <font>
      <sz val="11"/>
      <color theme="1"/>
      <name val="Calibri"/>
      <family val="2"/>
      <charset val="1"/>
    </font>
  </fonts>
  <fills count="11">
    <fill>
      <patternFill patternType="none"/>
    </fill>
    <fill>
      <patternFill patternType="gray125"/>
    </fill>
    <fill>
      <patternFill patternType="solid">
        <fgColor theme="6" tint="0.79979857783745845"/>
        <bgColor rgb="FFE2F0D9"/>
      </patternFill>
    </fill>
    <fill>
      <patternFill patternType="solid">
        <fgColor theme="6" tint="0.59978026673177287"/>
        <bgColor rgb="FFE2F0D9"/>
      </patternFill>
    </fill>
    <fill>
      <patternFill patternType="solid">
        <fgColor rgb="FFD9E1F2"/>
        <bgColor rgb="FFDDEBF7"/>
      </patternFill>
    </fill>
    <fill>
      <patternFill patternType="solid">
        <fgColor rgb="FFFFF2CC"/>
        <bgColor rgb="FFEBF1DE"/>
      </patternFill>
    </fill>
    <fill>
      <patternFill patternType="solid">
        <fgColor rgb="FFDDEBF7"/>
        <bgColor rgb="FFD9E1F2"/>
      </patternFill>
    </fill>
    <fill>
      <patternFill patternType="solid">
        <fgColor rgb="FF2F4F8F"/>
        <bgColor rgb="FF404040"/>
      </patternFill>
    </fill>
    <fill>
      <patternFill patternType="solid">
        <fgColor rgb="FFF2F2F2"/>
        <bgColor rgb="FFEBF1DE"/>
      </patternFill>
    </fill>
    <fill>
      <patternFill patternType="solid">
        <fgColor rgb="FFE2F0D9"/>
        <bgColor rgb="FFEBF1DE"/>
      </patternFill>
    </fill>
    <fill>
      <patternFill patternType="solid">
        <fgColor theme="4" tint="0.79998168889431442"/>
        <bgColor indexed="64"/>
      </patternFill>
    </fill>
  </fills>
  <borders count="1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cellStyleXfs>
  <cellXfs count="37">
    <xf numFmtId="0" fontId="0" fillId="0" borderId="0" xfId="0"/>
    <xf numFmtId="0" fontId="0" fillId="2" borderId="0" xfId="0" applyFill="1"/>
    <xf numFmtId="0" fontId="1" fillId="3" borderId="1" xfId="0" applyFont="1"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2" fillId="0" borderId="0" xfId="0" applyFont="1"/>
    <xf numFmtId="0" fontId="3" fillId="4" borderId="9" xfId="0" applyFont="1" applyFill="1" applyBorder="1"/>
    <xf numFmtId="0" fontId="0" fillId="0" borderId="9" xfId="0" applyBorder="1"/>
    <xf numFmtId="164" fontId="0" fillId="5" borderId="9" xfId="0" applyNumberFormat="1" applyFill="1" applyBorder="1"/>
    <xf numFmtId="0" fontId="0" fillId="5" borderId="9" xfId="0" applyFill="1" applyBorder="1"/>
    <xf numFmtId="0" fontId="0" fillId="6" borderId="9" xfId="0" applyFill="1" applyBorder="1"/>
    <xf numFmtId="165" fontId="0" fillId="5" borderId="9" xfId="0" applyNumberFormat="1" applyFill="1" applyBorder="1"/>
    <xf numFmtId="165" fontId="0" fillId="6" borderId="9" xfId="0" applyNumberFormat="1" applyFill="1" applyBorder="1"/>
    <xf numFmtId="164" fontId="0" fillId="6" borderId="9" xfId="0" applyNumberFormat="1" applyFill="1" applyBorder="1"/>
    <xf numFmtId="9" fontId="0" fillId="5" borderId="9" xfId="0" applyNumberFormat="1" applyFill="1" applyBorder="1"/>
    <xf numFmtId="0" fontId="4" fillId="7" borderId="0" xfId="0" applyFont="1" applyFill="1"/>
    <xf numFmtId="0" fontId="3" fillId="8" borderId="9" xfId="0" applyFont="1" applyFill="1" applyBorder="1"/>
    <xf numFmtId="10" fontId="0" fillId="9" borderId="9" xfId="0" applyNumberFormat="1" applyFill="1" applyBorder="1"/>
    <xf numFmtId="165" fontId="0" fillId="9" borderId="9" xfId="0" applyNumberFormat="1" applyFill="1" applyBorder="1"/>
    <xf numFmtId="166" fontId="0" fillId="9" borderId="9" xfId="0" applyNumberFormat="1" applyFill="1" applyBorder="1"/>
    <xf numFmtId="10" fontId="0" fillId="5" borderId="9" xfId="0" applyNumberFormat="1" applyFill="1" applyBorder="1"/>
    <xf numFmtId="10" fontId="0" fillId="6" borderId="9" xfId="0" applyNumberFormat="1" applyFill="1" applyBorder="1"/>
    <xf numFmtId="166" fontId="0" fillId="6" borderId="9" xfId="0" applyNumberFormat="1" applyFill="1" applyBorder="1"/>
    <xf numFmtId="0" fontId="0" fillId="9" borderId="9" xfId="0" applyFill="1" applyBorder="1"/>
    <xf numFmtId="166" fontId="0" fillId="5" borderId="9" xfId="0" applyNumberFormat="1" applyFill="1" applyBorder="1"/>
    <xf numFmtId="164" fontId="0" fillId="9" borderId="9" xfId="0" applyNumberFormat="1" applyFill="1" applyBorder="1"/>
    <xf numFmtId="0" fontId="5" fillId="0" borderId="0" xfId="0" applyFont="1"/>
    <xf numFmtId="10" fontId="0" fillId="0" borderId="0" xfId="0" applyNumberFormat="1"/>
    <xf numFmtId="166" fontId="0" fillId="0" borderId="0" xfId="0" applyNumberFormat="1"/>
    <xf numFmtId="166" fontId="3" fillId="4" borderId="9" xfId="0" applyNumberFormat="1" applyFont="1" applyFill="1" applyBorder="1"/>
    <xf numFmtId="0" fontId="0" fillId="10" borderId="0" xfId="0" applyFill="1"/>
  </cellXfs>
  <cellStyles count="2">
    <cellStyle name="Normal" xfId="0" builtinId="0"/>
    <cellStyle name="Normal 2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DEBF7"/>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EBF1DE"/>
      <rgbColor rgb="FFE2F0D9"/>
      <rgbColor rgb="FFF2F2F2"/>
      <rgbColor rgb="FF99CCFF"/>
      <rgbColor rgb="FFFF99CC"/>
      <rgbColor rgb="FFCC99FF"/>
      <rgbColor rgb="FFD7E4BD"/>
      <rgbColor rgb="FF3366FF"/>
      <rgbColor rgb="FF33CCCC"/>
      <rgbColor rgb="FF99CC00"/>
      <rgbColor rgb="FFFFCC00"/>
      <rgbColor rgb="FFFF9900"/>
      <rgbColor rgb="FFFF6600"/>
      <rgbColor rgb="FF4F81BD"/>
      <rgbColor rgb="FFB3B3B3"/>
      <rgbColor rgb="FF003366"/>
      <rgbColor rgb="FF339966"/>
      <rgbColor rgb="FF003300"/>
      <rgbColor rgb="FF333300"/>
      <rgbColor rgb="FF993300"/>
      <rgbColor rgb="FF993366"/>
      <rgbColor rgb="FF2F4F8F"/>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cap="none" spc="20" baseline="0">
                <a:solidFill>
                  <a:sysClr val="windowText" lastClr="000000">
                    <a:lumMod val="65000"/>
                    <a:lumOff val="35000"/>
                  </a:sysClr>
                </a:solidFill>
                <a:latin typeface="Gill Sans MT" panose="020B0502020104020203"/>
                <a:ea typeface="Calibri" panose="020F0502020204030204" pitchFamily="34" charset="0"/>
                <a:cs typeface="Calibri" panose="020F0502020204030204" pitchFamily="34" charset="0"/>
              </a:defRPr>
            </a:pPr>
            <a:r>
              <a:rPr lang="en-US" sz="1400" b="0" i="0" u="none" strike="noStrike" cap="none" spc="20" baseline="0" dirty="0">
                <a:solidFill>
                  <a:sysClr val="windowText" lastClr="000000">
                    <a:lumMod val="65000"/>
                    <a:lumOff val="35000"/>
                  </a:sysClr>
                </a:solidFill>
                <a:latin typeface="Gill Sans MT" panose="020B0502020104020203"/>
                <a:ea typeface="Calibri" panose="020F0502020204030204" pitchFamily="34" charset="0"/>
                <a:cs typeface="Calibri" panose="020F0502020204030204" pitchFamily="34" charset="0"/>
              </a:rPr>
              <a:t>DCF Equity Value Comparison</a:t>
            </a:r>
          </a:p>
        </c:rich>
      </c:tx>
      <c:overlay val="0"/>
      <c:spPr>
        <a:noFill/>
        <a:ln>
          <a:noFill/>
        </a:ln>
        <a:effectLst/>
      </c:spPr>
      <c:txPr>
        <a:bodyPr rot="0" spcFirstLastPara="1" vertOverflow="ellipsis" vert="horz" wrap="square" anchor="ctr" anchorCtr="1"/>
        <a:lstStyle/>
        <a:p>
          <a:pPr>
            <a:defRPr lang="en-US" sz="1400" b="0" i="0" u="none" strike="noStrike" kern="1200" cap="none" spc="20" baseline="0">
              <a:solidFill>
                <a:sysClr val="windowText" lastClr="000000">
                  <a:lumMod val="65000"/>
                  <a:lumOff val="35000"/>
                </a:sysClr>
              </a:solidFill>
              <a:latin typeface="Gill Sans MT" panose="020B0502020104020203"/>
              <a:ea typeface="Calibri" panose="020F0502020204030204" pitchFamily="34" charset="0"/>
              <a:cs typeface="Calibri" panose="020F0502020204030204" pitchFamily="34" charset="0"/>
            </a:defRPr>
          </a:pPr>
          <a:endParaRPr lang="en-US"/>
        </a:p>
      </c:txPr>
    </c:title>
    <c:autoTitleDeleted val="0"/>
    <c:plotArea>
      <c:layout/>
      <c:areaChart>
        <c:grouping val="standard"/>
        <c:varyColors val="0"/>
        <c:ser>
          <c:idx val="0"/>
          <c:order val="0"/>
          <c:tx>
            <c:v>DCF Equity Value</c:v>
          </c:tx>
          <c:spPr>
            <a:gradFill rotWithShape="1">
              <a:gsLst>
                <a:gs pos="0">
                  <a:schemeClr val="accent1">
                    <a:tint val="54000"/>
                    <a:alpha val="100000"/>
                    <a:satMod val="105000"/>
                    <a:lumMod val="110000"/>
                  </a:schemeClr>
                </a:gs>
                <a:gs pos="100000">
                  <a:schemeClr val="accent1">
                    <a:tint val="78000"/>
                    <a:alpha val="92000"/>
                    <a:satMod val="109000"/>
                    <a:lumMod val="100000"/>
                  </a:schemeClr>
                </a:gs>
              </a:gsLst>
              <a:lin ang="5400000" scaled="0"/>
            </a:gradFill>
            <a:ln w="9525" cap="flat" cmpd="sng" algn="ctr">
              <a:solidFill>
                <a:schemeClr val="accent1">
                  <a:shade val="95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Comparative_Valuation!$A$5:$A$7</c:f>
              <c:strCache>
                <c:ptCount val="3"/>
                <c:pt idx="0">
                  <c:v>Paramount Skydance (PSKY)</c:v>
                </c:pt>
                <c:pt idx="1">
                  <c:v>Warner Bros. Discovery (WBD)</c:v>
                </c:pt>
                <c:pt idx="2">
                  <c:v>Combined</c:v>
                </c:pt>
              </c:strCache>
            </c:strRef>
          </c:cat>
          <c:val>
            <c:numRef>
              <c:f>Comparative_Valuation!$E$5:$E$7</c:f>
              <c:numCache>
                <c:formatCode>\$#,##0</c:formatCode>
                <c:ptCount val="3"/>
                <c:pt idx="0">
                  <c:v>17737.719102086972</c:v>
                </c:pt>
                <c:pt idx="1">
                  <c:v>28613.036794668355</c:v>
                </c:pt>
                <c:pt idx="2">
                  <c:v>52216.203006827011</c:v>
                </c:pt>
              </c:numCache>
            </c:numRef>
          </c:val>
          <c:extLst>
            <c:ext xmlns:c16="http://schemas.microsoft.com/office/drawing/2014/chart" uri="{C3380CC4-5D6E-409C-BE32-E72D297353CC}">
              <c16:uniqueId val="{00000000-FB04-304E-8895-32EBA1759154}"/>
            </c:ext>
          </c:extLst>
        </c:ser>
        <c:dLbls>
          <c:showLegendKey val="0"/>
          <c:showVal val="0"/>
          <c:showCatName val="0"/>
          <c:showSerName val="0"/>
          <c:showPercent val="0"/>
          <c:showBubbleSize val="0"/>
        </c:dLbls>
        <c:axId val="74889796"/>
        <c:axId val="32415016"/>
      </c:areaChart>
      <c:catAx>
        <c:axId val="74889796"/>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Company</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2415016"/>
        <c:crosses val="autoZero"/>
        <c:auto val="1"/>
        <c:lblAlgn val="ctr"/>
        <c:lblOffset val="100"/>
        <c:noMultiLvlLbl val="0"/>
      </c:catAx>
      <c:valAx>
        <c:axId val="32415016"/>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DCF Equity Value ($mm)</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748897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lumMod val="50000"/>
                    <a:lumOff val="50000"/>
                  </a:sysClr>
                </a:solidFill>
                <a:latin typeface="+mn-lt"/>
                <a:ea typeface="+mn-ea"/>
                <a:cs typeface="+mn-cs"/>
              </a:defRPr>
            </a:pPr>
            <a:r>
              <a:rPr lang="en-US" sz="1400" b="0" i="0" u="none" strike="noStrike" kern="1200" cap="none" spc="20" baseline="0">
                <a:solidFill>
                  <a:sysClr val="windowText" lastClr="000000">
                    <a:lumMod val="50000"/>
                    <a:lumOff val="50000"/>
                  </a:sysClr>
                </a:solidFill>
                <a:latin typeface="+mn-lt"/>
                <a:ea typeface="+mn-ea"/>
                <a:cs typeface="+mn-cs"/>
              </a:rPr>
              <a:t>Revenue Growth Comparison</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lumMod val="50000"/>
                  <a:lumOff val="50000"/>
                </a:sysClr>
              </a:solidFill>
              <a:latin typeface="+mn-lt"/>
              <a:ea typeface="+mn-ea"/>
              <a:cs typeface="+mn-cs"/>
            </a:defRPr>
          </a:pPr>
          <a:endParaRPr lang="en-US"/>
        </a:p>
      </c:txPr>
    </c:title>
    <c:autoTitleDeleted val="0"/>
    <c:plotArea>
      <c:layout/>
      <c:lineChart>
        <c:grouping val="standard"/>
        <c:varyColors val="0"/>
        <c:ser>
          <c:idx val="0"/>
          <c:order val="0"/>
          <c:tx>
            <c:strRef>
              <c:f>Inputs!$B$3</c:f>
              <c:strCache>
                <c:ptCount val="1"/>
                <c:pt idx="0">
                  <c:v>Paramount Skydance (PSKY)</c:v>
                </c:pt>
              </c:strCache>
            </c:strRef>
          </c:tx>
          <c:spPr>
            <a:ln w="28575" cap="rnd">
              <a:solidFill>
                <a:schemeClr val="accent1"/>
              </a:solidFill>
              <a:round/>
            </a:ln>
            <a:effectLst/>
          </c:spPr>
          <c:marker>
            <c:symbol val="none"/>
          </c:marker>
          <c:cat>
            <c:strRef>
              <c:f>Inputs!$A$15:$A$20</c:f>
              <c:strCache>
                <c:ptCount val="6"/>
                <c:pt idx="0">
                  <c:v>5-Year Revenue Growth Year 1</c:v>
                </c:pt>
                <c:pt idx="1">
                  <c:v>5-Year Revenue Growth Year 2</c:v>
                </c:pt>
                <c:pt idx="2">
                  <c:v>5-Year Revenue Growth Year 3</c:v>
                </c:pt>
                <c:pt idx="3">
                  <c:v>5-Year Revenue Growth Year 4</c:v>
                </c:pt>
                <c:pt idx="4">
                  <c:v>5-Year Revenue Growth Year 5</c:v>
                </c:pt>
                <c:pt idx="5">
                  <c:v>Terminal Growth Rate</c:v>
                </c:pt>
              </c:strCache>
            </c:strRef>
          </c:cat>
          <c:val>
            <c:numRef>
              <c:f>Inputs!$B$15:$B$20</c:f>
              <c:numCache>
                <c:formatCode>0.0%</c:formatCode>
                <c:ptCount val="6"/>
                <c:pt idx="0">
                  <c:v>0.04</c:v>
                </c:pt>
                <c:pt idx="1">
                  <c:v>0.05</c:v>
                </c:pt>
                <c:pt idx="2">
                  <c:v>0.05</c:v>
                </c:pt>
                <c:pt idx="3">
                  <c:v>0.04</c:v>
                </c:pt>
                <c:pt idx="4">
                  <c:v>0.03</c:v>
                </c:pt>
                <c:pt idx="5">
                  <c:v>2.5000000000000001E-2</c:v>
                </c:pt>
              </c:numCache>
            </c:numRef>
          </c:val>
          <c:smooth val="0"/>
          <c:extLst>
            <c:ext xmlns:c16="http://schemas.microsoft.com/office/drawing/2014/chart" uri="{C3380CC4-5D6E-409C-BE32-E72D297353CC}">
              <c16:uniqueId val="{00000000-B818-4C5A-83C9-7DF8C355333C}"/>
            </c:ext>
          </c:extLst>
        </c:ser>
        <c:ser>
          <c:idx val="1"/>
          <c:order val="1"/>
          <c:tx>
            <c:strRef>
              <c:f>Inputs!$C$3</c:f>
              <c:strCache>
                <c:ptCount val="1"/>
                <c:pt idx="0">
                  <c:v>Warner Bros. Discovery (WBD)</c:v>
                </c:pt>
              </c:strCache>
            </c:strRef>
          </c:tx>
          <c:spPr>
            <a:ln w="28575" cap="rnd">
              <a:solidFill>
                <a:schemeClr val="accent2"/>
              </a:solidFill>
              <a:round/>
            </a:ln>
            <a:effectLst/>
          </c:spPr>
          <c:marker>
            <c:symbol val="none"/>
          </c:marker>
          <c:cat>
            <c:strRef>
              <c:f>Inputs!$A$15:$A$20</c:f>
              <c:strCache>
                <c:ptCount val="6"/>
                <c:pt idx="0">
                  <c:v>5-Year Revenue Growth Year 1</c:v>
                </c:pt>
                <c:pt idx="1">
                  <c:v>5-Year Revenue Growth Year 2</c:v>
                </c:pt>
                <c:pt idx="2">
                  <c:v>5-Year Revenue Growth Year 3</c:v>
                </c:pt>
                <c:pt idx="3">
                  <c:v>5-Year Revenue Growth Year 4</c:v>
                </c:pt>
                <c:pt idx="4">
                  <c:v>5-Year Revenue Growth Year 5</c:v>
                </c:pt>
                <c:pt idx="5">
                  <c:v>Terminal Growth Rate</c:v>
                </c:pt>
              </c:strCache>
            </c:strRef>
          </c:cat>
          <c:val>
            <c:numRef>
              <c:f>Inputs!$C$15:$C$20</c:f>
              <c:numCache>
                <c:formatCode>0.0%</c:formatCode>
                <c:ptCount val="6"/>
                <c:pt idx="0">
                  <c:v>0.02</c:v>
                </c:pt>
                <c:pt idx="1">
                  <c:v>0.03</c:v>
                </c:pt>
                <c:pt idx="2">
                  <c:v>0.04</c:v>
                </c:pt>
                <c:pt idx="3">
                  <c:v>0.04</c:v>
                </c:pt>
                <c:pt idx="4">
                  <c:v>0.03</c:v>
                </c:pt>
                <c:pt idx="5">
                  <c:v>0.02</c:v>
                </c:pt>
              </c:numCache>
            </c:numRef>
          </c:val>
          <c:smooth val="0"/>
          <c:extLst>
            <c:ext xmlns:c16="http://schemas.microsoft.com/office/drawing/2014/chart" uri="{C3380CC4-5D6E-409C-BE32-E72D297353CC}">
              <c16:uniqueId val="{00000001-B818-4C5A-83C9-7DF8C355333C}"/>
            </c:ext>
          </c:extLst>
        </c:ser>
        <c:ser>
          <c:idx val="2"/>
          <c:order val="2"/>
          <c:tx>
            <c:strRef>
              <c:f>Inputs!$D$3</c:f>
              <c:strCache>
                <c:ptCount val="1"/>
                <c:pt idx="0">
                  <c:v>Combined</c:v>
                </c:pt>
              </c:strCache>
            </c:strRef>
          </c:tx>
          <c:spPr>
            <a:ln w="28575" cap="rnd">
              <a:solidFill>
                <a:schemeClr val="accent3"/>
              </a:solidFill>
              <a:round/>
            </a:ln>
            <a:effectLst/>
          </c:spPr>
          <c:marker>
            <c:symbol val="none"/>
          </c:marker>
          <c:cat>
            <c:strRef>
              <c:f>Inputs!$A$15:$A$20</c:f>
              <c:strCache>
                <c:ptCount val="6"/>
                <c:pt idx="0">
                  <c:v>5-Year Revenue Growth Year 1</c:v>
                </c:pt>
                <c:pt idx="1">
                  <c:v>5-Year Revenue Growth Year 2</c:v>
                </c:pt>
                <c:pt idx="2">
                  <c:v>5-Year Revenue Growth Year 3</c:v>
                </c:pt>
                <c:pt idx="3">
                  <c:v>5-Year Revenue Growth Year 4</c:v>
                </c:pt>
                <c:pt idx="4">
                  <c:v>5-Year Revenue Growth Year 5</c:v>
                </c:pt>
                <c:pt idx="5">
                  <c:v>Terminal Growth Rate</c:v>
                </c:pt>
              </c:strCache>
            </c:strRef>
          </c:cat>
          <c:val>
            <c:numRef>
              <c:f>Inputs!$D$15:$D$20</c:f>
              <c:numCache>
                <c:formatCode>0.0%</c:formatCode>
                <c:ptCount val="6"/>
                <c:pt idx="0">
                  <c:v>0.03</c:v>
                </c:pt>
                <c:pt idx="1">
                  <c:v>0.04</c:v>
                </c:pt>
                <c:pt idx="2">
                  <c:v>4.4999999999999998E-2</c:v>
                </c:pt>
                <c:pt idx="3">
                  <c:v>0.04</c:v>
                </c:pt>
                <c:pt idx="4">
                  <c:v>0.03</c:v>
                </c:pt>
                <c:pt idx="5">
                  <c:v>2.2499999999999999E-2</c:v>
                </c:pt>
              </c:numCache>
            </c:numRef>
          </c:val>
          <c:smooth val="0"/>
          <c:extLst>
            <c:ext xmlns:c16="http://schemas.microsoft.com/office/drawing/2014/chart" uri="{C3380CC4-5D6E-409C-BE32-E72D297353CC}">
              <c16:uniqueId val="{00000002-B818-4C5A-83C9-7DF8C355333C}"/>
            </c:ext>
          </c:extLst>
        </c:ser>
        <c:dLbls>
          <c:showLegendKey val="0"/>
          <c:showVal val="0"/>
          <c:showCatName val="0"/>
          <c:showSerName val="0"/>
          <c:showPercent val="0"/>
          <c:showBubbleSize val="0"/>
        </c:dLbls>
        <c:smooth val="0"/>
        <c:axId val="1570067696"/>
        <c:axId val="98828416"/>
      </c:lineChart>
      <c:catAx>
        <c:axId val="15700676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50000"/>
                    <a:lumOff val="50000"/>
                  </a:schemeClr>
                </a:solidFill>
                <a:latin typeface="+mn-lt"/>
                <a:ea typeface="+mn-ea"/>
                <a:cs typeface="+mn-cs"/>
              </a:defRPr>
            </a:pPr>
            <a:endParaRPr lang="en-US"/>
          </a:p>
        </c:txPr>
        <c:crossAx val="98828416"/>
        <c:crosses val="autoZero"/>
        <c:auto val="1"/>
        <c:lblAlgn val="ctr"/>
        <c:lblOffset val="100"/>
        <c:noMultiLvlLbl val="0"/>
      </c:catAx>
      <c:valAx>
        <c:axId val="98828416"/>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50000"/>
                    <a:lumOff val="50000"/>
                  </a:schemeClr>
                </a:solidFill>
                <a:latin typeface="+mn-lt"/>
                <a:ea typeface="+mn-ea"/>
                <a:cs typeface="+mn-cs"/>
              </a:defRPr>
            </a:pPr>
            <a:endParaRPr lang="en-US"/>
          </a:p>
        </c:txPr>
        <c:crossAx val="157006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Cost of Equity Comparison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bar"/>
        <c:grouping val="clustered"/>
        <c:varyColors val="0"/>
        <c:ser>
          <c:idx val="0"/>
          <c:order val="0"/>
          <c:tx>
            <c:strRef>
              <c:f>Comparative_Valuation!$B$4</c:f>
              <c:strCache>
                <c:ptCount val="1"/>
                <c:pt idx="0">
                  <c:v>Cost of Equity</c:v>
                </c:pt>
              </c:strCache>
            </c:strRef>
          </c:tx>
          <c:spPr>
            <a:gradFill rotWithShape="1">
              <a:gsLst>
                <a:gs pos="0">
                  <a:schemeClr val="accent1">
                    <a:tint val="54000"/>
                    <a:alpha val="100000"/>
                    <a:satMod val="105000"/>
                    <a:lumMod val="110000"/>
                  </a:schemeClr>
                </a:gs>
                <a:gs pos="100000">
                  <a:schemeClr val="accent1">
                    <a:tint val="78000"/>
                    <a:alpha val="92000"/>
                    <a:satMod val="109000"/>
                    <a:lumMod val="100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Comparative_Valuation!$A$5:$A$7</c:f>
              <c:strCache>
                <c:ptCount val="3"/>
                <c:pt idx="0">
                  <c:v>Paramount Skydance (PSKY)</c:v>
                </c:pt>
                <c:pt idx="1">
                  <c:v>Warner Bros. Discovery (WBD)</c:v>
                </c:pt>
                <c:pt idx="2">
                  <c:v>Combined</c:v>
                </c:pt>
              </c:strCache>
            </c:strRef>
          </c:cat>
          <c:val>
            <c:numRef>
              <c:f>Comparative_Valuation!$B$5:$B$7</c:f>
              <c:numCache>
                <c:formatCode>0.00%</c:formatCode>
                <c:ptCount val="3"/>
                <c:pt idx="0">
                  <c:v>0.12</c:v>
                </c:pt>
                <c:pt idx="1">
                  <c:v>0.1255</c:v>
                </c:pt>
                <c:pt idx="2">
                  <c:v>0.11725000000000001</c:v>
                </c:pt>
              </c:numCache>
            </c:numRef>
          </c:val>
          <c:extLst>
            <c:ext xmlns:c16="http://schemas.microsoft.com/office/drawing/2014/chart" uri="{C3380CC4-5D6E-409C-BE32-E72D297353CC}">
              <c16:uniqueId val="{00000000-B927-484B-8760-DB4F5E1542C1}"/>
            </c:ext>
          </c:extLst>
        </c:ser>
        <c:dLbls>
          <c:dLblPos val="outEnd"/>
          <c:showLegendKey val="0"/>
          <c:showVal val="1"/>
          <c:showCatName val="0"/>
          <c:showSerName val="0"/>
          <c:showPercent val="0"/>
          <c:showBubbleSize val="0"/>
        </c:dLbls>
        <c:gapWidth val="100"/>
        <c:axId val="1768446208"/>
        <c:axId val="1768447168"/>
      </c:barChart>
      <c:catAx>
        <c:axId val="1768446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768447168"/>
        <c:crosses val="autoZero"/>
        <c:auto val="1"/>
        <c:lblAlgn val="ctr"/>
        <c:lblOffset val="100"/>
        <c:noMultiLvlLbl val="0"/>
      </c:catAx>
      <c:valAx>
        <c:axId val="1768447168"/>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768446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EVA Value Creation (PV)</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tint val="54000"/>
                      <a:alpha val="100000"/>
                      <a:satMod val="105000"/>
                      <a:lumMod val="110000"/>
                    </a:schemeClr>
                  </a:gs>
                  <a:gs pos="100000">
                    <a:schemeClr val="accent1">
                      <a:tint val="78000"/>
                      <a:alpha val="92000"/>
                      <a:satMod val="109000"/>
                      <a:lumMod val="100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05FF-4AE0-8716-1AB3AEF941C3}"/>
              </c:ext>
            </c:extLst>
          </c:dPt>
          <c:dPt>
            <c:idx val="1"/>
            <c:bubble3D val="0"/>
            <c:spPr>
              <a:gradFill rotWithShape="1">
                <a:gsLst>
                  <a:gs pos="0">
                    <a:schemeClr val="accent2">
                      <a:tint val="54000"/>
                      <a:alpha val="100000"/>
                      <a:satMod val="105000"/>
                      <a:lumMod val="110000"/>
                    </a:schemeClr>
                  </a:gs>
                  <a:gs pos="100000">
                    <a:schemeClr val="accent2">
                      <a:tint val="78000"/>
                      <a:alpha val="92000"/>
                      <a:satMod val="109000"/>
                      <a:lumMod val="100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05FF-4AE0-8716-1AB3AEF941C3}"/>
              </c:ext>
            </c:extLst>
          </c:dPt>
          <c:dPt>
            <c:idx val="2"/>
            <c:bubble3D val="0"/>
            <c:spPr>
              <a:gradFill rotWithShape="1">
                <a:gsLst>
                  <a:gs pos="0">
                    <a:schemeClr val="accent3">
                      <a:tint val="54000"/>
                      <a:alpha val="100000"/>
                      <a:satMod val="105000"/>
                      <a:lumMod val="110000"/>
                    </a:schemeClr>
                  </a:gs>
                  <a:gs pos="100000">
                    <a:schemeClr val="accent3">
                      <a:tint val="78000"/>
                      <a:alpha val="92000"/>
                      <a:satMod val="109000"/>
                      <a:lumMod val="100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05FF-4AE0-8716-1AB3AEF941C3}"/>
              </c:ext>
            </c:extLst>
          </c:dPt>
          <c:cat>
            <c:strRef>
              <c:f>Master_Key!$A$5:$A$7</c:f>
              <c:strCache>
                <c:ptCount val="3"/>
                <c:pt idx="0">
                  <c:v>Paramount Skydance (PSKY)</c:v>
                </c:pt>
                <c:pt idx="1">
                  <c:v>Warner Bros. Discovery (WBD)</c:v>
                </c:pt>
                <c:pt idx="2">
                  <c:v>Combined</c:v>
                </c:pt>
              </c:strCache>
            </c:strRef>
          </c:cat>
          <c:val>
            <c:numRef>
              <c:f>Master_Key!$C$5:$C$7</c:f>
              <c:numCache>
                <c:formatCode>\$#,##0</c:formatCode>
                <c:ptCount val="3"/>
                <c:pt idx="0">
                  <c:v>-1373.6617680670329</c:v>
                </c:pt>
                <c:pt idx="1">
                  <c:v>46.713404718541582</c:v>
                </c:pt>
                <c:pt idx="2">
                  <c:v>39.202840253630349</c:v>
                </c:pt>
              </c:numCache>
            </c:numRef>
          </c:val>
          <c:extLst>
            <c:ext xmlns:c16="http://schemas.microsoft.com/office/drawing/2014/chart" uri="{C3380CC4-5D6E-409C-BE32-E72D297353CC}">
              <c16:uniqueId val="{00000006-05FF-4AE0-8716-1AB3AEF941C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EBIT Margin Comparison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Inputs!$B$3</c:f>
              <c:strCache>
                <c:ptCount val="1"/>
                <c:pt idx="0">
                  <c:v>Paramount Skydance (PSKY)</c:v>
                </c:pt>
              </c:strCache>
            </c:strRef>
          </c:tx>
          <c:spPr>
            <a:gradFill rotWithShape="1">
              <a:gsLst>
                <a:gs pos="0">
                  <a:schemeClr val="accent1">
                    <a:tint val="54000"/>
                    <a:alpha val="100000"/>
                    <a:satMod val="105000"/>
                    <a:lumMod val="110000"/>
                  </a:schemeClr>
                </a:gs>
                <a:gs pos="100000">
                  <a:schemeClr val="accent1">
                    <a:tint val="78000"/>
                    <a:alpha val="92000"/>
                    <a:satMod val="109000"/>
                    <a:lumMod val="100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Inputs!$B$6</c:f>
              <c:numCache>
                <c:formatCode>General</c:formatCode>
                <c:ptCount val="1"/>
                <c:pt idx="0">
                  <c:v>0.08</c:v>
                </c:pt>
              </c:numCache>
            </c:numRef>
          </c:val>
          <c:extLst>
            <c:ext xmlns:c16="http://schemas.microsoft.com/office/drawing/2014/chart" uri="{C3380CC4-5D6E-409C-BE32-E72D297353CC}">
              <c16:uniqueId val="{00000000-6D57-431C-B004-FC9182A6363C}"/>
            </c:ext>
          </c:extLst>
        </c:ser>
        <c:ser>
          <c:idx val="1"/>
          <c:order val="1"/>
          <c:tx>
            <c:strRef>
              <c:f>Inputs!$C$3</c:f>
              <c:strCache>
                <c:ptCount val="1"/>
                <c:pt idx="0">
                  <c:v>Warner Bros. Discovery (WBD)</c:v>
                </c:pt>
              </c:strCache>
            </c:strRef>
          </c:tx>
          <c:spPr>
            <a:gradFill rotWithShape="1">
              <a:gsLst>
                <a:gs pos="0">
                  <a:schemeClr val="accent2">
                    <a:tint val="54000"/>
                    <a:alpha val="100000"/>
                    <a:satMod val="105000"/>
                    <a:lumMod val="110000"/>
                  </a:schemeClr>
                </a:gs>
                <a:gs pos="100000">
                  <a:schemeClr val="accent2">
                    <a:tint val="78000"/>
                    <a:alpha val="92000"/>
                    <a:satMod val="109000"/>
                    <a:lumMod val="100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Inputs!$C$6</c:f>
              <c:numCache>
                <c:formatCode>General</c:formatCode>
                <c:ptCount val="1"/>
                <c:pt idx="0">
                  <c:v>0.13</c:v>
                </c:pt>
              </c:numCache>
            </c:numRef>
          </c:val>
          <c:extLst>
            <c:ext xmlns:c16="http://schemas.microsoft.com/office/drawing/2014/chart" uri="{C3380CC4-5D6E-409C-BE32-E72D297353CC}">
              <c16:uniqueId val="{00000001-6D57-431C-B004-FC9182A6363C}"/>
            </c:ext>
          </c:extLst>
        </c:ser>
        <c:ser>
          <c:idx val="2"/>
          <c:order val="2"/>
          <c:tx>
            <c:strRef>
              <c:f>Inputs!$D$3</c:f>
              <c:strCache>
                <c:ptCount val="1"/>
                <c:pt idx="0">
                  <c:v>Combined</c:v>
                </c:pt>
              </c:strCache>
            </c:strRef>
          </c:tx>
          <c:spPr>
            <a:gradFill rotWithShape="1">
              <a:gsLst>
                <a:gs pos="0">
                  <a:schemeClr val="accent3">
                    <a:tint val="54000"/>
                    <a:alpha val="100000"/>
                    <a:satMod val="105000"/>
                    <a:lumMod val="110000"/>
                  </a:schemeClr>
                </a:gs>
                <a:gs pos="100000">
                  <a:schemeClr val="accent3">
                    <a:tint val="78000"/>
                    <a:alpha val="92000"/>
                    <a:satMod val="109000"/>
                    <a:lumMod val="100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Inputs!$D$6</c:f>
              <c:numCache>
                <c:formatCode>General</c:formatCode>
                <c:ptCount val="1"/>
                <c:pt idx="0">
                  <c:v>0.10881852829082381</c:v>
                </c:pt>
              </c:numCache>
            </c:numRef>
          </c:val>
          <c:extLst>
            <c:ext xmlns:c16="http://schemas.microsoft.com/office/drawing/2014/chart" uri="{C3380CC4-5D6E-409C-BE32-E72D297353CC}">
              <c16:uniqueId val="{00000002-6D57-431C-B004-FC9182A6363C}"/>
            </c:ext>
          </c:extLst>
        </c:ser>
        <c:dLbls>
          <c:dLblPos val="outEnd"/>
          <c:showLegendKey val="0"/>
          <c:showVal val="1"/>
          <c:showCatName val="0"/>
          <c:showSerName val="0"/>
          <c:showPercent val="0"/>
          <c:showBubbleSize val="0"/>
        </c:dLbls>
        <c:gapWidth val="100"/>
        <c:overlap val="-24"/>
        <c:axId val="1633107440"/>
        <c:axId val="1633104080"/>
      </c:barChart>
      <c:catAx>
        <c:axId val="163310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633104080"/>
        <c:crosses val="autoZero"/>
        <c:auto val="1"/>
        <c:lblAlgn val="ctr"/>
        <c:lblOffset val="100"/>
        <c:noMultiLvlLbl val="0"/>
      </c:catAx>
      <c:valAx>
        <c:axId val="16331040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633107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r>
              <a:rPr lang="en-US"/>
              <a:t>Depreciation as % of Revenue Comparison</a:t>
            </a:r>
          </a:p>
        </c:rich>
      </c:tx>
      <c:overlay val="0"/>
      <c:spPr>
        <a:noFill/>
        <a:ln>
          <a:noFill/>
        </a:ln>
        <a:effectLst/>
      </c:spPr>
      <c:txPr>
        <a:bodyPr rot="0" spcFirstLastPara="1" vertOverflow="ellipsis" vert="horz" wrap="square" anchor="ctr" anchorCtr="1"/>
        <a:lstStyle/>
        <a:p>
          <a:pPr>
            <a:defRPr sz="1600" b="0" i="0" u="none" strike="noStrike" kern="1200" spc="70" baseline="0">
              <a:solidFill>
                <a:schemeClr val="dk1">
                  <a:lumMod val="50000"/>
                  <a:lumOff val="50000"/>
                </a:schemeClr>
              </a:solidFill>
              <a:latin typeface="+mn-lt"/>
              <a:ea typeface="+mn-ea"/>
              <a:cs typeface="+mn-cs"/>
            </a:defRPr>
          </a:pPr>
          <a:endParaRPr lang="en-US"/>
        </a:p>
      </c:txPr>
    </c:title>
    <c:autoTitleDeleted val="0"/>
    <c:plotArea>
      <c:layout>
        <c:manualLayout>
          <c:layoutTarget val="inner"/>
          <c:xMode val="edge"/>
          <c:yMode val="edge"/>
          <c:x val="0.30809884699856027"/>
          <c:y val="0.21420238986421508"/>
          <c:w val="0.39609516642379272"/>
          <c:h val="0.71403534821310111"/>
        </c:manualLayout>
      </c:layout>
      <c:radarChart>
        <c:radarStyle val="marker"/>
        <c:varyColors val="0"/>
        <c:ser>
          <c:idx val="0"/>
          <c:order val="0"/>
          <c:spPr>
            <a:ln w="50800" cap="rnd" cmpd="sng" algn="ctr">
              <a:solidFill>
                <a:schemeClr val="accent1">
                  <a:alpha val="30000"/>
                </a:schemeClr>
              </a:solidFill>
              <a:round/>
            </a:ln>
            <a:effectLst/>
          </c:spPr>
          <c:marker>
            <c:symbol val="none"/>
          </c:marker>
          <c:cat>
            <c:strRef>
              <c:f>Inputs!$B$3:$D$3</c:f>
              <c:strCache>
                <c:ptCount val="3"/>
                <c:pt idx="0">
                  <c:v>Paramount Skydance (PSKY)</c:v>
                </c:pt>
                <c:pt idx="1">
                  <c:v>Warner Bros. Discovery (WBD)</c:v>
                </c:pt>
                <c:pt idx="2">
                  <c:v>Combined</c:v>
                </c:pt>
              </c:strCache>
            </c:strRef>
          </c:cat>
          <c:val>
            <c:numRef>
              <c:f>Inputs!$B$8:$D$8</c:f>
              <c:numCache>
                <c:formatCode>General</c:formatCode>
                <c:ptCount val="3"/>
                <c:pt idx="0">
                  <c:v>0.12</c:v>
                </c:pt>
                <c:pt idx="1">
                  <c:v>0.16</c:v>
                </c:pt>
                <c:pt idx="2">
                  <c:v>0.14000000000000001</c:v>
                </c:pt>
              </c:numCache>
            </c:numRef>
          </c:val>
          <c:extLst>
            <c:ext xmlns:c16="http://schemas.microsoft.com/office/drawing/2014/chart" uri="{C3380CC4-5D6E-409C-BE32-E72D297353CC}">
              <c16:uniqueId val="{00000000-F05D-4822-B557-7852BBA5954C}"/>
            </c:ext>
          </c:extLst>
        </c:ser>
        <c:dLbls>
          <c:showLegendKey val="0"/>
          <c:showVal val="0"/>
          <c:showCatName val="0"/>
          <c:showSerName val="0"/>
          <c:showPercent val="0"/>
          <c:showBubbleSize val="0"/>
        </c:dLbls>
        <c:axId val="1585492496"/>
        <c:axId val="1585493456"/>
      </c:radarChart>
      <c:catAx>
        <c:axId val="158549249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585493456"/>
        <c:crosses val="autoZero"/>
        <c:auto val="1"/>
        <c:lblAlgn val="ctr"/>
        <c:lblOffset val="100"/>
        <c:noMultiLvlLbl val="0"/>
      </c:catAx>
      <c:valAx>
        <c:axId val="158549345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mn-lt"/>
                <a:ea typeface="+mn-ea"/>
                <a:cs typeface="+mn-cs"/>
              </a:defRPr>
            </a:pPr>
            <a:endParaRPr lang="en-US"/>
          </a:p>
        </c:txPr>
        <c:crossAx val="15854924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Gill Sans MT" panose="020B0502020104020203"/>
              </a:rPr>
              <a:t>DCF Equity Value </a:t>
            </a:r>
            <a:r>
              <a:rPr lang="en-US" sz="1400" b="0" i="0" u="none" strike="noStrike" kern="1200" cap="none" spc="20" baseline="0">
                <a:solidFill>
                  <a:sysClr val="windowText" lastClr="000000">
                    <a:lumMod val="50000"/>
                    <a:lumOff val="50000"/>
                  </a:sysClr>
                </a:solidFill>
                <a:latin typeface="+mn-lt"/>
                <a:ea typeface="+mn-ea"/>
                <a:cs typeface="+mn-cs"/>
              </a:rPr>
              <a:t>Breakdown</a:t>
            </a:r>
          </a:p>
        </cx:rich>
      </cx:tx>
    </cx:title>
    <cx:plotArea>
      <cx:plotAreaRegion>
        <cx:series layoutId="sunburst" uniqueId="{28BBC913-9C4E-460F-964C-D50805E1E29E}">
          <cx:dataLabels pos="ctr">
            <cx:visibility seriesName="0" categoryName="1" value="0"/>
          </cx:dataLabels>
          <cx:dataId val="0"/>
        </cx:series>
      </cx:plotAreaRegion>
    </cx:plotArea>
    <cx:legend pos="b"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_xlchart.v2.4</cx:f>
      </cx:strDim>
      <cx:numDim type="val">
        <cx:f>_xlchart.v2.5</cx:f>
      </cx:numDim>
    </cx:data>
  </cx:chartData>
  <cx:chart>
    <cx:title pos="t" align="ctr" overlay="0">
      <cx:tx>
        <cx:rich>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Gill Sans MT" panose="020B0502020104020203"/>
              </a:rPr>
              <a:t>DCF Value per </a:t>
            </a:r>
            <a:r>
              <a:rPr lang="en-US" sz="1400" b="0" i="0" u="none" strike="noStrike" kern="1200" cap="none" spc="20" baseline="0">
                <a:solidFill>
                  <a:sysClr val="windowText" lastClr="000000">
                    <a:lumMod val="50000"/>
                    <a:lumOff val="50000"/>
                  </a:sysClr>
                </a:solidFill>
                <a:latin typeface="+mn-lt"/>
                <a:ea typeface="+mn-ea"/>
                <a:cs typeface="+mn-cs"/>
              </a:rPr>
              <a:t>Share</a:t>
            </a:r>
            <a:r>
              <a:rPr lang="en-US" sz="1400" b="0" i="0" u="none" strike="noStrike" baseline="0">
                <a:solidFill>
                  <a:sysClr val="windowText" lastClr="000000">
                    <a:lumMod val="65000"/>
                    <a:lumOff val="35000"/>
                  </a:sysClr>
                </a:solidFill>
                <a:latin typeface="Gill Sans MT" panose="020B0502020104020203"/>
              </a:rPr>
              <a:t> Comparison</a:t>
            </a:r>
          </a:p>
        </cx:rich>
      </cx:tx>
    </cx:title>
    <cx:plotArea>
      <cx:plotAreaRegion>
        <cx:series layoutId="funnel" uniqueId="{69455008-81AD-401D-96BB-9726BA14F727}">
          <cx:dataLabels>
            <cx:visibility seriesName="0" categoryName="0" value="1"/>
          </cx:dataLabels>
          <cx:dataId val="0"/>
        </cx:series>
      </cx:plotAreaRegion>
      <cx:axis id="0">
        <cx:catScaling gapWidth="0.5"/>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txData>
          <cx:v>Year 1 EPS Comparison Across Entities</cx:v>
        </cx:txData>
      </cx:tx>
      <cx:txPr>
        <a:bodyPr spcFirstLastPara="1" vertOverflow="ellipsis" horzOverflow="overflow" wrap="square" lIns="0" tIns="0" rIns="0" bIns="0" anchor="ctr" anchorCtr="1"/>
        <a:lstStyle/>
        <a:p>
          <a:pPr algn="ctr" rtl="0">
            <a:defRPr>
              <a:solidFill>
                <a:schemeClr val="bg1">
                  <a:lumMod val="50000"/>
                </a:schemeClr>
              </a:solidFill>
            </a:defRPr>
          </a:pPr>
          <a:r>
            <a:rPr lang="en-US" sz="1400" b="0" i="0" u="none" strike="noStrike" baseline="0">
              <a:solidFill>
                <a:schemeClr val="bg1">
                  <a:lumMod val="50000"/>
                </a:schemeClr>
              </a:solidFill>
              <a:latin typeface="Gill Sans MT" panose="020B0502020104020203"/>
            </a:rPr>
            <a:t>Year 1 EPS Comparison Across Entities</a:t>
          </a:r>
        </a:p>
      </cx:txPr>
    </cx:title>
    <cx:plotArea>
      <cx:plotAreaRegion>
        <cx:series layoutId="waterfall" uniqueId="{88063EC2-7B5E-4EAE-A2B1-5567D9D06303}">
          <cx:dataLabels pos="inEnd">
            <cx:visibility seriesName="0" categoryName="0" value="1"/>
          </cx:dataLabels>
          <cx:dataId val="0"/>
          <cx:layoutPr>
            <cx:subtotals/>
          </cx:layoutPr>
        </cx:series>
      </cx:plotAreaRegion>
      <cx:axis id="0">
        <cx:catScaling gapWidth="0.5"/>
        <cx:tickLabels/>
      </cx:axis>
      <cx:axis id="1">
        <cx:valScaling/>
        <cx:tickLabels/>
      </cx:axis>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12">
  <cs:axisTitle>
    <cs:lnRef idx="0"/>
    <cs:fillRef idx="0"/>
    <cs:effectRef idx="0"/>
    <cs:fontRef idx="minor">
      <a:schemeClr val="tx1">
        <a:lumMod val="50000"/>
        <a:lumOff val="50000"/>
      </a:schemeClr>
    </cs:fontRef>
    <cs:spPr>
      <a:solidFill>
        <a:schemeClr val="bg1">
          <a:lumMod val="85000"/>
        </a:schemeClr>
      </a:solidFill>
      <a:ln>
        <a:solidFill>
          <a:schemeClr val="bg1">
            <a:lumMod val="75000"/>
          </a:schemeClr>
        </a:solidFill>
      </a:ln>
    </cs:spPr>
    <cs:defRPr sz="900"/>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50000"/>
        <a:lumOff val="50000"/>
      </a:schemeClr>
    </cs:fontRef>
    <cs:defRPr sz="900"/>
  </cs:dataLabel>
  <cs:dataLabelCallout>
    <cs:lnRef idx="0"/>
    <cs:fillRef idx="0"/>
    <cs:effectRef idx="0"/>
    <cs:fontRef idx="minor">
      <a:schemeClr val="dk1">
        <a:lumMod val="50000"/>
        <a:lumOff val="50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ln w="9525" cap="flat" cmpd="sng" algn="ctr">
        <a:solidFill>
          <a:schemeClr val="phClr">
            <a:alpha val="50000"/>
          </a:schemeClr>
        </a:solidFill>
        <a:round/>
      </a:ln>
    </cs:spPr>
  </cs:dataPoint>
  <cs:dataPoint3D>
    <cs:lnRef idx="0">
      <cs:styleClr val="auto"/>
    </cs:lnRef>
    <cs:fillRef idx="0">
      <cs:styleClr val="auto"/>
    </cs:fillRef>
    <cs:effectRef idx="0"/>
    <cs:fontRef idx="minor">
      <a:schemeClr val="dk1"/>
    </cs:fontRef>
    <cs:spPr>
      <a:solidFill>
        <a:schemeClr val="phClr"/>
      </a:solidFill>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4"/>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15000"/>
            <a:lumOff val="85000"/>
            <a:lumOff val="10000"/>
          </a:schemeClr>
        </a:solidFill>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400" cap="none" spc="2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50000"/>
        <a:lumOff val="50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50000"/>
        <a:lumOff val="50000"/>
      </a:schemeClr>
    </cs:fontRef>
    <cs:defRPr sz="9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84">
  <cs:axisTitle>
    <cs:lnRef idx="0"/>
    <cs:fillRef idx="0"/>
    <cs:effectRef idx="0"/>
    <cs:fontRef idx="minor">
      <a:schemeClr val="tx1">
        <a:lumMod val="50000"/>
        <a:lumOff val="50000"/>
      </a:schemeClr>
    </cs:fontRef>
    <cs:defRPr sz="900"/>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50000"/>
        <a:lumOff val="50000"/>
      </a:schemeClr>
    </cs:fontRef>
    <cs:defRPr sz="900"/>
  </cs:dataLabel>
  <cs:dataLabelCallout>
    <cs:lnRef idx="0"/>
    <cs:fillRef idx="0"/>
    <cs:effectRef idx="0"/>
    <cs:fontRef idx="minor">
      <a:schemeClr val="dk1">
        <a:lumMod val="50000"/>
        <a:lumOff val="50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ln w="9525" cap="flat" cmpd="sng" algn="ctr">
        <a:solidFill>
          <a:schemeClr val="phClr">
            <a:alpha val="50000"/>
          </a:schemeClr>
        </a:solidFill>
        <a:round/>
      </a:ln>
    </cs:spPr>
  </cs:dataPoint>
  <cs:dataPoint3D>
    <cs:lnRef idx="0">
      <cs:styleClr val="auto"/>
    </cs:lnRef>
    <cs:fillRef idx="0">
      <cs:styleClr val="auto"/>
    </cs:fillRef>
    <cs:effectRef idx="0"/>
    <cs:fontRef idx="minor">
      <a:schemeClr val="dk1"/>
    </cs:fontRef>
    <cs:spPr>
      <a:solidFill>
        <a:schemeClr val="phClr"/>
      </a:solidFill>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4"/>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15000"/>
            <a:lumOff val="85000"/>
            <a:lumOff val="10000"/>
          </a:schemeClr>
        </a:solidFill>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400" cap="none" spc="2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50000"/>
        <a:lumOff val="50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50000"/>
        <a:lumOff val="50000"/>
      </a:schemeClr>
    </cs:fontRef>
    <cs:defRPr sz="9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425">
  <cs:axisTitle>
    <cs:lnRef idx="0"/>
    <cs:fillRef idx="0"/>
    <cs:effectRef idx="0"/>
    <cs:fontRef idx="minor">
      <a:schemeClr val="tx1">
        <a:lumMod val="50000"/>
        <a:lumOff val="50000"/>
      </a:schemeClr>
    </cs:fontRef>
    <cs:defRPr sz="900"/>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50000"/>
        <a:lumOff val="50000"/>
      </a:schemeClr>
    </cs:fontRef>
    <cs:defRPr sz="900"/>
  </cs:dataLabel>
  <cs:dataLabelCallout>
    <cs:lnRef idx="0"/>
    <cs:fillRef idx="0"/>
    <cs:effectRef idx="0"/>
    <cs:fontRef idx="minor">
      <a:schemeClr val="dk1">
        <a:lumMod val="50000"/>
        <a:lumOff val="50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ln w="9525" cap="flat" cmpd="sng" algn="ctr">
        <a:solidFill>
          <a:schemeClr val="phClr">
            <a:alpha val="50000"/>
          </a:schemeClr>
        </a:solidFill>
        <a:round/>
      </a:ln>
    </cs:spPr>
  </cs:dataPoint>
  <cs:dataPoint3D>
    <cs:lnRef idx="0">
      <cs:styleClr val="auto"/>
    </cs:lnRef>
    <cs:fillRef idx="0">
      <cs:styleClr val="auto"/>
    </cs:fillRef>
    <cs:effectRef idx="0"/>
    <cs:fontRef idx="minor">
      <a:schemeClr val="dk1"/>
    </cs:fontRef>
    <cs:spPr>
      <a:solidFill>
        <a:schemeClr val="phClr"/>
      </a:solidFill>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4"/>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15000"/>
            <a:lumOff val="85000"/>
            <a:lumOff val="10000"/>
          </a:schemeClr>
        </a:solidFill>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400" cap="none" spc="2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50000"/>
        <a:lumOff val="50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50000"/>
        <a:lumOff val="50000"/>
      </a:schemeClr>
    </cs:fontRef>
    <cs:defRPr sz="9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98">
  <cs:axisTitle>
    <cs:lnRef idx="0"/>
    <cs:fillRef idx="0"/>
    <cs:effectRef idx="0"/>
    <cs:fontRef idx="minor">
      <a:schemeClr val="tx1">
        <a:lumMod val="50000"/>
        <a:lumOff val="50000"/>
      </a:schemeClr>
    </cs:fontRef>
    <cs:defRPr sz="900"/>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50000"/>
        <a:lumOff val="50000"/>
      </a:schemeClr>
    </cs:fontRef>
    <cs:defRPr sz="900"/>
  </cs:dataLabel>
  <cs:dataLabelCallout>
    <cs:lnRef idx="0"/>
    <cs:fillRef idx="0"/>
    <cs:effectRef idx="0"/>
    <cs:fontRef idx="minor">
      <a:schemeClr val="dk1">
        <a:lumMod val="50000"/>
        <a:lumOff val="50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ln w="9525" cap="flat" cmpd="sng" algn="ctr">
        <a:solidFill>
          <a:schemeClr val="phClr">
            <a:alpha val="50000"/>
          </a:schemeClr>
        </a:solidFill>
        <a:round/>
      </a:ln>
    </cs:spPr>
  </cs:dataPoint>
  <cs:dataPoint3D>
    <cs:lnRef idx="0">
      <cs:styleClr val="auto"/>
    </cs:lnRef>
    <cs:fillRef idx="0">
      <cs:styleClr val="auto"/>
    </cs:fillRef>
    <cs:effectRef idx="0"/>
    <cs:fontRef idx="minor">
      <a:schemeClr val="dk1"/>
    </cs:fontRef>
    <cs:spPr>
      <a:solidFill>
        <a:schemeClr val="phClr"/>
      </a:solidFill>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4"/>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15000"/>
            <a:lumOff val="85000"/>
            <a:lumOff val="10000"/>
          </a:schemeClr>
        </a:solidFill>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400" cap="none" spc="2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50000"/>
        <a:lumOff val="50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50000"/>
        <a:lumOff val="50000"/>
      </a:schemeClr>
    </cs:fontRef>
    <cs:defRPr sz="9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microsoft.com/office/2014/relationships/chartEx" Target="../charts/chartEx3.xml"/><Relationship Id="rId2" Type="http://schemas.openxmlformats.org/officeDocument/2006/relationships/chart" Target="../charts/chart2.xml"/><Relationship Id="rId1" Type="http://schemas.openxmlformats.org/officeDocument/2006/relationships/chart" Target="../charts/chart1.xml"/><Relationship Id="rId6" Type="http://schemas.microsoft.com/office/2014/relationships/chartEx" Target="../charts/chartEx2.xml"/><Relationship Id="rId5" Type="http://schemas.microsoft.com/office/2014/relationships/chartEx" Target="../charts/chartEx1.xml"/><Relationship Id="rId4" Type="http://schemas.openxmlformats.org/officeDocument/2006/relationships/chart" Target="../charts/chart4.xml"/><Relationship Id="rId9"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453571</xdr:colOff>
      <xdr:row>2</xdr:row>
      <xdr:rowOff>272143</xdr:rowOff>
    </xdr:from>
    <xdr:to>
      <xdr:col>11</xdr:col>
      <xdr:colOff>235857</xdr:colOff>
      <xdr:row>76</xdr:row>
      <xdr:rowOff>87923</xdr:rowOff>
    </xdr:to>
    <xdr:sp macro="" textlink="">
      <xdr:nvSpPr>
        <xdr:cNvPr id="2" name="TextBox 1">
          <a:extLst>
            <a:ext uri="{FF2B5EF4-FFF2-40B4-BE49-F238E27FC236}">
              <a16:creationId xmlns:a16="http://schemas.microsoft.com/office/drawing/2014/main" id="{4BF9AB22-5993-E0B3-BB3F-1A189F1FD91D}"/>
            </a:ext>
          </a:extLst>
        </xdr:cNvPr>
        <xdr:cNvSpPr txBox="1"/>
      </xdr:nvSpPr>
      <xdr:spPr>
        <a:xfrm>
          <a:off x="453571" y="682451"/>
          <a:ext cx="7197132" cy="15260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Executive</a:t>
          </a:r>
          <a:r>
            <a:rPr lang="en-US" sz="1200" b="1" baseline="0">
              <a:latin typeface="Times New Roman" panose="02020603050405020304" pitchFamily="18" charset="0"/>
              <a:cs typeface="Times New Roman" panose="02020603050405020304" pitchFamily="18" charset="0"/>
            </a:rPr>
            <a:t> Summary</a:t>
          </a:r>
        </a:p>
        <a:p>
          <a:r>
            <a:rPr lang="en-US" sz="1200" b="1" baseline="0">
              <a:latin typeface="Times New Roman" panose="02020603050405020304" pitchFamily="18" charset="0"/>
              <a:cs typeface="Times New Roman" panose="02020603050405020304" pitchFamily="18" charset="0"/>
            </a:rPr>
            <a:t>To: CFO</a:t>
          </a:r>
        </a:p>
        <a:p>
          <a:r>
            <a:rPr lang="en-US" sz="1200" b="1" baseline="0">
              <a:latin typeface="Times New Roman" panose="02020603050405020304" pitchFamily="18" charset="0"/>
              <a:cs typeface="Times New Roman" panose="02020603050405020304" pitchFamily="18" charset="0"/>
            </a:rPr>
            <a:t>Subject: </a:t>
          </a:r>
          <a:r>
            <a:rPr lang="en-US" sz="1200"/>
            <a:t>Paramount Skydance / WBD merger</a:t>
          </a:r>
        </a:p>
        <a:p>
          <a:r>
            <a:rPr lang="en-US" sz="1200" b="1" baseline="0">
              <a:latin typeface="Times New Roman" panose="02020603050405020304" pitchFamily="18" charset="0"/>
              <a:cs typeface="Times New Roman" panose="02020603050405020304" pitchFamily="18" charset="0"/>
            </a:rPr>
            <a:t>From: Team 15,   Peter Parker, Clark Kent, Diana Prince, Bruce Banner</a:t>
          </a:r>
        </a:p>
        <a:p>
          <a:endParaRPr lang="en-US" sz="1100" b="1" baseline="0">
            <a:latin typeface="Times New Roman" panose="02020603050405020304" pitchFamily="18" charset="0"/>
            <a:cs typeface="Times New Roman" panose="02020603050405020304" pitchFamily="18" charset="0"/>
          </a:endParaRPr>
        </a:p>
        <a:p>
          <a:endParaRPr lang="en-US" sz="900" baseline="0">
            <a:latin typeface="Times New Roman" panose="02020603050405020304" pitchFamily="18" charset="0"/>
            <a:cs typeface="Times New Roman" panose="02020603050405020304" pitchFamily="18" charset="0"/>
          </a:endParaRPr>
        </a:p>
        <a:p>
          <a:endParaRPr lang="en-US" sz="900" baseline="0">
            <a:latin typeface="Times New Roman" panose="02020603050405020304" pitchFamily="18" charset="0"/>
            <a:cs typeface="Times New Roman" panose="02020603050405020304" pitchFamily="18" charset="0"/>
          </a:endParaRPr>
        </a:p>
        <a:p>
          <a:r>
            <a:rPr lang="en-US" sz="900" baseline="0">
              <a:latin typeface="Times New Roman" panose="02020603050405020304" pitchFamily="18" charset="0"/>
              <a:cs typeface="Times New Roman" panose="02020603050405020304" pitchFamily="18" charset="0"/>
            </a:rPr>
            <a:t>INTRODUCTION:</a:t>
          </a:r>
        </a:p>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Times New Roman" panose="02020603050405020304" pitchFamily="18" charset="0"/>
              <a:cs typeface="Times New Roman" panose="02020603050405020304" pitchFamily="18" charset="0"/>
            </a:rPr>
            <a:t>The merger between Paramount Skydance and Warner Bros. Discovery represents a strategic initiative aimed at fortifying both entities within an evolving media landscape. Over the past decade, consumer media consumption has undergone significant transformation, with an increasing preference for streaming services and digital content platforms. This shift has intensified competition and compelled media companies to continuously produce innovative content while maintaining profitability. Consequently, organizations must pursue growth, enhance operational efficiency, and adapt proactively to consumer demands. The Paramount Skydance and Warner Bros. Discovery merger seeks to address these challenges by creating a larger, more competitive enterprise equipped to navigate this dynamic environment effectively. The transaction includes a premium payment to Warner Bros. Discovery shareholders, reflecting market expectations that the consolidated entity will generate superior financial performance through enhanced operational synergies and growth opportunities. Fundamentally, the merger is designed not merely to increase scale but to establish a more resilient and sustainable business model.</a:t>
          </a:r>
          <a:endParaRPr lang="en-US" sz="1200" baseline="0">
            <a:latin typeface="Times New Roman" panose="02020603050405020304" pitchFamily="18" charset="0"/>
            <a:cs typeface="Times New Roman" panose="02020603050405020304" pitchFamily="18" charset="0"/>
          </a:endParaRPr>
        </a:p>
        <a:p>
          <a:endParaRPr lang="en-US" sz="900" baseline="0">
            <a:latin typeface="Times New Roman" panose="02020603050405020304" pitchFamily="18" charset="0"/>
            <a:cs typeface="Times New Roman" panose="02020603050405020304" pitchFamily="18" charset="0"/>
          </a:endParaRPr>
        </a:p>
        <a:p>
          <a:r>
            <a:rPr lang="en-US" sz="900" baseline="0">
              <a:latin typeface="Times New Roman" panose="02020603050405020304" pitchFamily="18" charset="0"/>
              <a:cs typeface="Times New Roman" panose="02020603050405020304" pitchFamily="18" charset="0"/>
            </a:rPr>
            <a:t>FINANCIAL ANALYSIS:</a:t>
          </a:r>
        </a:p>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Times New Roman" panose="02020603050405020304" pitchFamily="18" charset="0"/>
              <a:cs typeface="Times New Roman" panose="02020603050405020304" pitchFamily="18" charset="0"/>
            </a:rPr>
            <a:t>The primary rationale for the merger centers on the integration of resources and operations to improve efficiency and strengthen market positioning. Both Paramount Skydance and Warner Bros. Discovery incur substantial fixed costs related to content production, distribution, and technology investments. Operating independently, each company faces difficulties in optimizing these expenditures. By combining operations, the merged entity can allocate these fixed costs across a larger revenue base, thereby reducing overall expenses. Additionally, the merger expands the content portfolio, enabling the company to attract a broader audience and enhance consumer engagement. This expanded reach is critical in a highly competitive market where audience attention directly influences revenue generation. Furthermore, the consolidated company is likely to wield greater negotiating leverage with distributors, advertisers, and other strategic partners, potentially securing more favorable terms and improving profitability. Collectively, these factors position the merged company to be more competitive, operate more efficiently, and achieve superior long-term growth prospects compared to the standalone entities.</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A significant portion of the merger’s value derives from anticipated synergies, which are integral to the overall valuation. These synergies encompass both cost reductions and revenue enhancements realized through the integration of the two companies’ operations. Cost savings are expected to result from eliminating redundant positions, consolidating departments, and streamlining organizational processes. For instance, reductions in overlapping administrative functions and duplicate infrastructure will contribute to lower operating costs. Revenue growth is anticipated through more effective content distribution across combined platforms, access to a larger aggregated audience, and enhanced cross-promotion strategies. These benefits are projected to materialize progressively as the companies integrate and begin operating as a unified entity. By the fifth year post-merger, these synergies are expected to stabilize, and when discounted over an infinite horizon, they contribute approximately seven billion dollars to the merger’s total value. This figure represents a substantial proportion of the aggregate valuation, underscoring the critical importance of realizing these anticipated benefits. Absent these synergies, the financial advantages of the merger would be considerably diminished. Valuation was conducted using a discounted cash flow (DCF) methodology, which estimates the present value of future cash flows expected to be generated by each company. This approach is widely utilized for its forward-looking perspective on intrinsic value based on projected operational performance. When assessed independently, Warner Bros. Discovery exhibits a higher aggregate equity valuation, attributable primarily to its larger scale and greater operational profitability. Conversely, Paramount Skydance, while possessing intrinsic value, demonstrates weaker financial metrics, notably a negative economic value added (EVA). A negative EVA indicates that the firm is not generating sufficient returns to cover its cost of capital, suggesting that its current operations are not creating value for shareholders. However, upon consolidation, the combined entity’s valuation exceeds the sum of the individual companies’ standalone values. This premium reflects the creation of incremental value beyond simple aggregation, primarily driven by the realization of synergies and enhanced operational efficiency. Additionally, the merged company benefits from a reduced equity cost of capital due to increased scale and diversification, further enhancing the attractiveness of the transaction by lowering perceived risk. Another critical consideration is the impact of the merger on earnings per share (EPS), a key indicator of shareholder value. The analysis indicates that the transaction significantly enhances earnings, resulting in an increase in EPS post-merger. While Paramount Skydance’s standalone earnings are relatively modest, the integration with Warner Bros. Discovery, combined with expected synergies, substantially elevates consolidated earnings. This improvement provides a direct benefit to shareholders through increased profitability per share. The pronounced EPS growth reinforces the financial rationale underpinning the merger, as rising EPS is generally viewed favorably by investors, signaling improved profitability and value creation. In this context, the robust earnings enhancement suggests that the merger not only generates corporate value but also delivers tangible benefits to shareholders. </a:t>
          </a:r>
        </a:p>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Times New Roman" panose="02020603050405020304" pitchFamily="18" charset="0"/>
              <a:cs typeface="Times New Roman" panose="02020603050405020304" pitchFamily="18" charset="0"/>
            </a:rPr>
            <a:t>Despite the positive financial outlook, it is essential to acknowledge the risks inherent in the merger process. The integration of two large organizations presents significant managerial and operational challenges. Differences in corporate culture, organizational structure, and management practices may impede a seamless merger if not managed effectively. Successful integration will require meticulous planning and strong leadership. There is also the risk that anticipated synergies may not fully materialize, given that these projections are based on assumptions subject to uncertainty. Failure to achieve expected improvements could diminish the overall value generated by the merger. Furthermore, the substantial acquisition premium paid represents a significant upfront investment, heightening the importance of post-merger operational success. The rapidly evolving media industry, characterized by shifting consumer preferences and technological innovation, introduces additional uncertainty. These risks underscore the necessity for a comprehensive integration strategy to realize the merger’s full potential</a:t>
          </a:r>
          <a:r>
            <a:rPr lang="en-US" sz="900">
              <a:effectLst/>
            </a:rPr>
            <a:t>.</a:t>
          </a:r>
        </a:p>
        <a:p>
          <a:endParaRPr lang="en-US" sz="900" baseline="0">
            <a:latin typeface="Times New Roman" panose="02020603050405020304" pitchFamily="18" charset="0"/>
            <a:cs typeface="Times New Roman" panose="02020603050405020304" pitchFamily="18" charset="0"/>
          </a:endParaRPr>
        </a:p>
        <a:p>
          <a:endParaRPr lang="en-US" sz="900" baseline="0">
            <a:latin typeface="Times New Roman" panose="02020603050405020304" pitchFamily="18" charset="0"/>
            <a:cs typeface="Times New Roman" panose="02020603050405020304" pitchFamily="18" charset="0"/>
          </a:endParaRPr>
        </a:p>
        <a:p>
          <a:r>
            <a:rPr lang="en-US" sz="900" baseline="0">
              <a:latin typeface="Times New Roman" panose="02020603050405020304" pitchFamily="18" charset="0"/>
              <a:cs typeface="Times New Roman" panose="02020603050405020304" pitchFamily="18" charset="0"/>
            </a:rPr>
            <a:t>RECOMMENDATIONS:</a:t>
          </a:r>
          <a:endParaRPr lang="en-US" sz="90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Times New Roman" panose="02020603050405020304" pitchFamily="18" charset="0"/>
              <a:cs typeface="Times New Roman" panose="02020603050405020304" pitchFamily="18" charset="0"/>
            </a:rPr>
            <a:t>In summary, the merger between Paramount Skydance and Warner Bros. Discovery appears financially advantageous based on the analysis presented. The combined entity is projected to exhibit increased total equity value, a substantial rise in earnings per share, and a lower cost of equity, collectively indicating a strengthened financial position. Although Paramount Skydance’s standalone performance is comparatively weaker, the merger enhances its overall financial metrics and contributes to the formation of a more competitive and efficiently managed company. The value creation primarily stems from anticipated synergies that reduce operational costs and generate new revenue opportunities. The transaction clearly augments shareholder value, providing immediate financial benefits. While integration risks and execution challenges remain, the overall findings suggest that the merger constitutes a compelling strategic opportunity. If the combined company successfully captures the projected synergies and executes a smooth integration, the merger holds significant potential to deliver sustained shareholder value and reinforce its competitive standing in the media industry.</a:t>
          </a:r>
        </a:p>
        <a:p>
          <a:endParaRPr lang="en-US" sz="1100"/>
        </a:p>
      </xdr:txBody>
    </xdr:sp>
    <xdr:clientData/>
  </xdr:twoCellAnchor>
  <xdr:twoCellAnchor editAs="oneCell">
    <xdr:from>
      <xdr:col>12</xdr:col>
      <xdr:colOff>266884</xdr:colOff>
      <xdr:row>5</xdr:row>
      <xdr:rowOff>124261</xdr:rowOff>
    </xdr:from>
    <xdr:to>
      <xdr:col>20</xdr:col>
      <xdr:colOff>168978</xdr:colOff>
      <xdr:row>20</xdr:row>
      <xdr:rowOff>177453</xdr:rowOff>
    </xdr:to>
    <xdr:graphicFrame macro="">
      <xdr:nvGraphicFramePr>
        <xdr:cNvPr id="3" name="Chart 2">
          <a:extLst>
            <a:ext uri="{FF2B5EF4-FFF2-40B4-BE49-F238E27FC236}">
              <a16:creationId xmlns:a16="http://schemas.microsoft.com/office/drawing/2014/main" id="{D7CAF18B-C447-5344-8FCC-BC31CED8F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2</xdr:row>
      <xdr:rowOff>274320</xdr:rowOff>
    </xdr:from>
    <xdr:to>
      <xdr:col>26</xdr:col>
      <xdr:colOff>137160</xdr:colOff>
      <xdr:row>4</xdr:row>
      <xdr:rowOff>30480</xdr:rowOff>
    </xdr:to>
    <xdr:sp macro="" textlink="">
      <xdr:nvSpPr>
        <xdr:cNvPr id="4" name="Rectangle 3">
          <a:extLst>
            <a:ext uri="{FF2B5EF4-FFF2-40B4-BE49-F238E27FC236}">
              <a16:creationId xmlns:a16="http://schemas.microsoft.com/office/drawing/2014/main" id="{CBFBAA73-D892-ED30-6754-98ADC79C08E7}"/>
            </a:ext>
          </a:extLst>
        </xdr:cNvPr>
        <xdr:cNvSpPr/>
      </xdr:nvSpPr>
      <xdr:spPr>
        <a:xfrm>
          <a:off x="14752320" y="670560"/>
          <a:ext cx="2819400" cy="4267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t>Dashboard</a:t>
          </a:r>
        </a:p>
      </xdr:txBody>
    </xdr:sp>
    <xdr:clientData/>
  </xdr:twoCellAnchor>
  <xdr:twoCellAnchor>
    <xdr:from>
      <xdr:col>20</xdr:col>
      <xdr:colOff>404787</xdr:colOff>
      <xdr:row>5</xdr:row>
      <xdr:rowOff>124261</xdr:rowOff>
    </xdr:from>
    <xdr:to>
      <xdr:col>28</xdr:col>
      <xdr:colOff>297871</xdr:colOff>
      <xdr:row>20</xdr:row>
      <xdr:rowOff>177453</xdr:rowOff>
    </xdr:to>
    <xdr:graphicFrame macro="">
      <xdr:nvGraphicFramePr>
        <xdr:cNvPr id="6" name="Chart 5">
          <a:extLst>
            <a:ext uri="{FF2B5EF4-FFF2-40B4-BE49-F238E27FC236}">
              <a16:creationId xmlns:a16="http://schemas.microsoft.com/office/drawing/2014/main" id="{B9302BC2-C21B-44BC-B6D1-076CBC2E89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546923</xdr:colOff>
      <xdr:row>5</xdr:row>
      <xdr:rowOff>124261</xdr:rowOff>
    </xdr:from>
    <xdr:to>
      <xdr:col>36</xdr:col>
      <xdr:colOff>392389</xdr:colOff>
      <xdr:row>20</xdr:row>
      <xdr:rowOff>169425</xdr:rowOff>
    </xdr:to>
    <xdr:graphicFrame macro="">
      <xdr:nvGraphicFramePr>
        <xdr:cNvPr id="7" name="Chart 6">
          <a:extLst>
            <a:ext uri="{FF2B5EF4-FFF2-40B4-BE49-F238E27FC236}">
              <a16:creationId xmlns:a16="http://schemas.microsoft.com/office/drawing/2014/main" id="{86CE5B6C-97AB-429B-9F2E-5992F6FBCA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304129</xdr:colOff>
      <xdr:row>22</xdr:row>
      <xdr:rowOff>77314</xdr:rowOff>
    </xdr:from>
    <xdr:to>
      <xdr:col>20</xdr:col>
      <xdr:colOff>168978</xdr:colOff>
      <xdr:row>37</xdr:row>
      <xdr:rowOff>92111</xdr:rowOff>
    </xdr:to>
    <xdr:graphicFrame macro="">
      <xdr:nvGraphicFramePr>
        <xdr:cNvPr id="8" name="Chart 7">
          <a:extLst>
            <a:ext uri="{FF2B5EF4-FFF2-40B4-BE49-F238E27FC236}">
              <a16:creationId xmlns:a16="http://schemas.microsoft.com/office/drawing/2014/main" id="{A142F0DB-DA62-4958-92BE-114517B7E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433024</xdr:colOff>
      <xdr:row>22</xdr:row>
      <xdr:rowOff>77314</xdr:rowOff>
    </xdr:from>
    <xdr:to>
      <xdr:col>28</xdr:col>
      <xdr:colOff>297871</xdr:colOff>
      <xdr:row>37</xdr:row>
      <xdr:rowOff>92111</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D0BEB9EE-8427-4942-B11B-E902779E59B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3387024" y="4554064"/>
              <a:ext cx="5046447" cy="287229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28</xdr:col>
      <xdr:colOff>536548</xdr:colOff>
      <xdr:row>22</xdr:row>
      <xdr:rowOff>77314</xdr:rowOff>
    </xdr:from>
    <xdr:to>
      <xdr:col>36</xdr:col>
      <xdr:colOff>392389</xdr:colOff>
      <xdr:row>37</xdr:row>
      <xdr:rowOff>92111</xdr:rowOff>
    </xdr:to>
    <mc:AlternateContent xmlns:mc="http://schemas.openxmlformats.org/markup-compatibility/2006">
      <mc:Choice xmlns:cx2="http://schemas.microsoft.com/office/drawing/2015/10/21/chartex" Requires="cx2">
        <xdr:graphicFrame macro="">
          <xdr:nvGraphicFramePr>
            <xdr:cNvPr id="10" name="Chart 9">
              <a:extLst>
                <a:ext uri="{FF2B5EF4-FFF2-40B4-BE49-F238E27FC236}">
                  <a16:creationId xmlns:a16="http://schemas.microsoft.com/office/drawing/2014/main" id="{96463E31-954E-45F0-AF26-3303DFB6F4D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8672148" y="4554064"/>
              <a:ext cx="5037441" cy="287229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253641</xdr:colOff>
      <xdr:row>39</xdr:row>
      <xdr:rowOff>-1</xdr:rowOff>
    </xdr:from>
    <xdr:to>
      <xdr:col>20</xdr:col>
      <xdr:colOff>168978</xdr:colOff>
      <xdr:row>54</xdr:row>
      <xdr:rowOff>63344</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FC523F6A-C579-4BC9-BFE5-33BF0825DD0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8026041" y="7715249"/>
              <a:ext cx="5096937" cy="292084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391544</xdr:colOff>
      <xdr:row>39</xdr:row>
      <xdr:rowOff>-1</xdr:rowOff>
    </xdr:from>
    <xdr:to>
      <xdr:col>28</xdr:col>
      <xdr:colOff>297871</xdr:colOff>
      <xdr:row>54</xdr:row>
      <xdr:rowOff>63344</xdr:rowOff>
    </xdr:to>
    <xdr:graphicFrame macro="">
      <xdr:nvGraphicFramePr>
        <xdr:cNvPr id="12" name="Chart 11">
          <a:extLst>
            <a:ext uri="{FF2B5EF4-FFF2-40B4-BE49-F238E27FC236}">
              <a16:creationId xmlns:a16="http://schemas.microsoft.com/office/drawing/2014/main" id="{2FC16DE6-70DE-43AC-98D5-FEBA64AAC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467702</xdr:colOff>
      <xdr:row>39</xdr:row>
      <xdr:rowOff>-1</xdr:rowOff>
    </xdr:from>
    <xdr:to>
      <xdr:col>36</xdr:col>
      <xdr:colOff>392389</xdr:colOff>
      <xdr:row>54</xdr:row>
      <xdr:rowOff>-1</xdr:rowOff>
    </xdr:to>
    <xdr:graphicFrame macro="">
      <xdr:nvGraphicFramePr>
        <xdr:cNvPr id="13" name="Chart 12">
          <a:extLst>
            <a:ext uri="{FF2B5EF4-FFF2-40B4-BE49-F238E27FC236}">
              <a16:creationId xmlns:a16="http://schemas.microsoft.com/office/drawing/2014/main" id="{56D98F36-3AA5-4CE7-BA34-1CED64990A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317500</xdr:colOff>
      <xdr:row>2</xdr:row>
      <xdr:rowOff>12700</xdr:rowOff>
    </xdr:from>
    <xdr:to>
      <xdr:col>9</xdr:col>
      <xdr:colOff>749300</xdr:colOff>
      <xdr:row>33</xdr:row>
      <xdr:rowOff>50800</xdr:rowOff>
    </xdr:to>
    <xdr:sp macro="" textlink="">
      <xdr:nvSpPr>
        <xdr:cNvPr id="2" name="TextBox 1">
          <a:extLst>
            <a:ext uri="{FF2B5EF4-FFF2-40B4-BE49-F238E27FC236}">
              <a16:creationId xmlns:a16="http://schemas.microsoft.com/office/drawing/2014/main" id="{CCE8883A-CE04-8E2B-2E9D-848A1DACEC07}"/>
            </a:ext>
          </a:extLst>
        </xdr:cNvPr>
        <xdr:cNvSpPr txBox="1"/>
      </xdr:nvSpPr>
      <xdr:spPr>
        <a:xfrm>
          <a:off x="317500" y="393700"/>
          <a:ext cx="7861300" cy="594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600" b="1">
              <a:latin typeface="Times New Roman" panose="02020603050405020304" pitchFamily="18" charset="0"/>
              <a:cs typeface="Times New Roman" panose="02020603050405020304" pitchFamily="18" charset="0"/>
            </a:rPr>
            <a:t>Executive</a:t>
          </a:r>
          <a:r>
            <a:rPr lang="en-US" sz="1600" b="1" baseline="0">
              <a:latin typeface="Times New Roman" panose="02020603050405020304" pitchFamily="18" charset="0"/>
              <a:cs typeface="Times New Roman" panose="02020603050405020304" pitchFamily="18" charset="0"/>
            </a:rPr>
            <a:t> Summary</a:t>
          </a:r>
        </a:p>
        <a:p>
          <a:r>
            <a:rPr lang="en-US" sz="1600" b="1" baseline="0">
              <a:latin typeface="Times New Roman" panose="02020603050405020304" pitchFamily="18" charset="0"/>
              <a:cs typeface="Times New Roman" panose="02020603050405020304" pitchFamily="18" charset="0"/>
            </a:rPr>
            <a:t>To: CFO</a:t>
          </a:r>
        </a:p>
        <a:p>
          <a:r>
            <a:rPr lang="en-US" sz="1600" b="1" baseline="0">
              <a:latin typeface="Times New Roman" panose="02020603050405020304" pitchFamily="18" charset="0"/>
              <a:cs typeface="Times New Roman" panose="02020603050405020304" pitchFamily="18" charset="0"/>
            </a:rPr>
            <a:t>Subject: </a:t>
          </a:r>
          <a:r>
            <a:rPr lang="en-US" sz="1600"/>
            <a:t>Paramount Skydance / WBD merger</a:t>
          </a:r>
          <a:endParaRPr lang="en-US" sz="1600" b="1" baseline="0">
            <a:latin typeface="Times New Roman" panose="02020603050405020304" pitchFamily="18" charset="0"/>
            <a:cs typeface="Times New Roman" panose="02020603050405020304" pitchFamily="18" charset="0"/>
          </a:endParaRPr>
        </a:p>
        <a:p>
          <a:r>
            <a:rPr lang="en-US" sz="1600" b="1" baseline="0">
              <a:latin typeface="Times New Roman" panose="02020603050405020304" pitchFamily="18" charset="0"/>
              <a:cs typeface="Times New Roman" panose="02020603050405020304" pitchFamily="18" charset="0"/>
            </a:rPr>
            <a:t>From: Team 15,   Peter Parker, Clark Kent, Diana Prince, Bruce Banner</a:t>
          </a:r>
        </a:p>
        <a:p>
          <a:endParaRPr lang="en-US" sz="1600" b="1" baseline="0">
            <a:latin typeface="Times New Roman" panose="02020603050405020304" pitchFamily="18" charset="0"/>
            <a:cs typeface="Times New Roman" panose="02020603050405020304" pitchFamily="18" charset="0"/>
          </a:endParaRPr>
        </a:p>
        <a:p>
          <a:endParaRPr lang="en-US" sz="1600"/>
        </a:p>
        <a:p>
          <a:r>
            <a:rPr lang="en-US" sz="1600" b="1"/>
            <a:t>I</a:t>
          </a:r>
          <a:r>
            <a:rPr lang="en-US" sz="1600" b="1" baseline="0"/>
            <a:t> did my part:</a:t>
          </a:r>
        </a:p>
        <a:p>
          <a:r>
            <a:rPr lang="en-US" sz="1600" baseline="0"/>
            <a:t>I have done all the excel work for you, you are welcome. </a:t>
          </a:r>
          <a:endParaRPr lang="en-US" sz="1600"/>
        </a:p>
        <a:p>
          <a:endParaRPr lang="en-US" sz="1600"/>
        </a:p>
        <a:p>
          <a:r>
            <a:rPr lang="en-US" sz="1600" b="1"/>
            <a:t>Assignment Instructions:</a:t>
          </a:r>
          <a:endParaRPr lang="en-US" sz="1600"/>
        </a:p>
        <a:p>
          <a:r>
            <a:rPr lang="en-US" sz="1600"/>
            <a:t>Using the Paramount Skydance / WBD merger Excel model, create three deliverables: (1) a 2–4 page written Executive Summary analyzing the deal rationale, synergies, and valuation; (2) an Excel Dashboard visualizing key metrics; and (3) a PowerPoint presentation suitable for a board-level audience.</a:t>
          </a:r>
        </a:p>
        <a:p>
          <a:endParaRPr lang="en-US" sz="1100"/>
        </a:p>
      </xdr:txBody>
    </xdr:sp>
    <xdr:clientData/>
  </xdr:twoCellAnchor>
</xdr:wsDr>
</file>

<file path=xl/theme/theme1.xml><?xml version="1.0" encoding="utf-8"?>
<a:theme xmlns:a="http://schemas.openxmlformats.org/drawingml/2006/main" name="Gallery">
  <a:themeElements>
    <a:clrScheme name="Gallery">
      <a:dk1>
        <a:sysClr val="windowText" lastClr="000000"/>
      </a:dk1>
      <a:lt1>
        <a:sysClr val="window" lastClr="FFFFFF"/>
      </a:lt1>
      <a:dk2>
        <a:srgbClr val="454545"/>
      </a:dk2>
      <a:lt2>
        <a:srgbClr val="DFDBD5"/>
      </a:lt2>
      <a:accent1>
        <a:srgbClr val="B71E42"/>
      </a:accent1>
      <a:accent2>
        <a:srgbClr val="DE478E"/>
      </a:accent2>
      <a:accent3>
        <a:srgbClr val="BC72F0"/>
      </a:accent3>
      <a:accent4>
        <a:srgbClr val="795FAF"/>
      </a:accent4>
      <a:accent5>
        <a:srgbClr val="586EA6"/>
      </a:accent5>
      <a:accent6>
        <a:srgbClr val="6892A0"/>
      </a:accent6>
      <a:hlink>
        <a:srgbClr val="FA2B5C"/>
      </a:hlink>
      <a:folHlink>
        <a:srgbClr val="BC658E"/>
      </a:folHlink>
    </a:clrScheme>
    <a:fontScheme name="Gallery">
      <a:majorFont>
        <a:latin typeface="Gill Sans MT" panose="020B0502020104020203"/>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panose="020B0502020104020203"/>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allery">
      <a:fillStyleLst>
        <a:solidFill>
          <a:schemeClr val="phClr"/>
        </a:solidFill>
        <a:gradFill rotWithShape="1">
          <a:gsLst>
            <a:gs pos="0">
              <a:schemeClr val="phClr">
                <a:tint val="54000"/>
                <a:alpha val="100000"/>
                <a:satMod val="105000"/>
                <a:lumMod val="110000"/>
              </a:schemeClr>
            </a:gs>
            <a:gs pos="100000">
              <a:schemeClr val="phClr">
                <a:tint val="78000"/>
                <a:alpha val="92000"/>
                <a:satMod val="109000"/>
                <a:lumMod val="100000"/>
              </a:schemeClr>
            </a:gs>
          </a:gsLst>
          <a:lin ang="5400000" scaled="0"/>
        </a:gradFill>
        <a:gradFill rotWithShape="1">
          <a:gsLst>
            <a:gs pos="0">
              <a:schemeClr val="phClr">
                <a:tint val="98000"/>
                <a:satMod val="110000"/>
                <a:lumMod val="104000"/>
              </a:schemeClr>
            </a:gs>
            <a:gs pos="69000">
              <a:schemeClr val="phClr">
                <a:shade val="88000"/>
                <a:satMod val="130000"/>
                <a:lumMod val="92000"/>
              </a:schemeClr>
            </a:gs>
            <a:gs pos="100000">
              <a:schemeClr val="phClr">
                <a:shade val="78000"/>
                <a:satMod val="130000"/>
                <a:lumMod val="92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0800" dist="50800" dir="5400000" sx="96000" sy="96000" rotWithShape="0">
              <a:srgbClr val="000000">
                <a:alpha val="48000"/>
              </a:srgbClr>
            </a:outerShdw>
          </a:effectLst>
          <a:scene3d>
            <a:camera prst="orthographicFront">
              <a:rot lat="0" lon="0" rev="0"/>
            </a:camera>
            <a:lightRig rig="balanced" dir="t">
              <a:rot lat="0" lon="0" rev="1080000"/>
            </a:lightRig>
          </a:scene3d>
          <a:sp3d>
            <a:bevelT w="38100" h="12700" prst="softRound"/>
          </a:sp3d>
        </a:effectStyle>
      </a:effectStyleLst>
      <a:bgFillStyleLst>
        <a:solidFill>
          <a:schemeClr val="phClr"/>
        </a:solidFill>
        <a:solidFill>
          <a:schemeClr val="phClr"/>
        </a:solidFill>
        <a:gradFill rotWithShape="1">
          <a:gsLst>
            <a:gs pos="0">
              <a:schemeClr val="phClr">
                <a:tint val="94000"/>
                <a:satMod val="80000"/>
                <a:lumMod val="106000"/>
              </a:schemeClr>
            </a:gs>
            <a:gs pos="100000">
              <a:schemeClr val="phClr">
                <a:shade val="8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Gallery" id="{BBFCD31E-59A1-489D-B089-A3EAD7CAE12E}" vid="{F5E91637-A7B6-4E27-B710-77DA7014EE1E}"/>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2:AK80"/>
  <sheetViews>
    <sheetView tabSelected="1" topLeftCell="H1" zoomScale="48" zoomScaleNormal="71" workbookViewId="0">
      <selection activeCell="AM45" sqref="AM45"/>
    </sheetView>
  </sheetViews>
  <sheetFormatPr defaultColWidth="9.7109375" defaultRowHeight="15" customHeight="1" x14ac:dyDescent="0.25"/>
  <cols>
    <col min="1" max="16384" width="9.7109375" style="1"/>
  </cols>
  <sheetData>
    <row r="2" spans="13:37" ht="15.75" customHeight="1" x14ac:dyDescent="0.25"/>
    <row r="3" spans="13:37" ht="36.75" customHeight="1" x14ac:dyDescent="0.55000000000000004">
      <c r="M3" s="2"/>
      <c r="N3" s="3"/>
      <c r="O3" s="3"/>
      <c r="P3" s="3"/>
      <c r="Q3" s="3"/>
      <c r="R3" s="3"/>
      <c r="S3" s="3"/>
      <c r="T3" s="3"/>
      <c r="U3" s="3"/>
      <c r="V3" s="3"/>
      <c r="W3" s="3"/>
      <c r="X3" s="3"/>
      <c r="Y3" s="3"/>
      <c r="Z3" s="3"/>
      <c r="AA3" s="3"/>
      <c r="AB3" s="3"/>
      <c r="AC3" s="3"/>
      <c r="AD3" s="3"/>
      <c r="AE3" s="3"/>
      <c r="AF3" s="3"/>
      <c r="AG3" s="3"/>
      <c r="AH3" s="3"/>
      <c r="AI3" s="3"/>
      <c r="AJ3" s="3"/>
      <c r="AK3" s="4"/>
    </row>
    <row r="4" spans="13:37" ht="15" customHeight="1" x14ac:dyDescent="0.25">
      <c r="M4" s="5"/>
      <c r="N4" s="6"/>
      <c r="O4" s="6"/>
      <c r="P4" s="6"/>
      <c r="Q4" s="6"/>
      <c r="R4" s="6"/>
      <c r="S4" s="6"/>
      <c r="T4" s="6"/>
      <c r="U4" s="6"/>
      <c r="V4" s="6"/>
      <c r="W4" s="6"/>
      <c r="X4" s="6"/>
      <c r="Y4" s="6"/>
      <c r="Z4" s="6"/>
      <c r="AA4" s="6"/>
      <c r="AB4" s="6"/>
      <c r="AC4" s="6"/>
      <c r="AD4" s="6"/>
      <c r="AE4" s="6"/>
      <c r="AF4" s="6"/>
      <c r="AG4" s="6"/>
      <c r="AH4" s="6"/>
      <c r="AI4" s="6"/>
      <c r="AJ4" s="6"/>
      <c r="AK4" s="7"/>
    </row>
    <row r="5" spans="13:37" ht="15" customHeight="1" x14ac:dyDescent="0.25">
      <c r="M5" s="5"/>
      <c r="N5" s="6"/>
      <c r="O5" s="6"/>
      <c r="P5" s="6"/>
      <c r="Q5" s="6"/>
      <c r="R5" s="6"/>
      <c r="S5" s="6"/>
      <c r="T5" s="6"/>
      <c r="U5" s="6"/>
      <c r="V5" s="6"/>
      <c r="W5" s="6"/>
      <c r="X5" s="6"/>
      <c r="Y5" s="6"/>
      <c r="Z5" s="6"/>
      <c r="AA5" s="6"/>
      <c r="AB5" s="6"/>
      <c r="AC5" s="6"/>
      <c r="AD5" s="6"/>
      <c r="AE5" s="6"/>
      <c r="AF5" s="6"/>
      <c r="AG5" s="6"/>
      <c r="AH5" s="6"/>
      <c r="AI5" s="6"/>
      <c r="AJ5" s="6"/>
      <c r="AK5" s="7"/>
    </row>
    <row r="6" spans="13:37" ht="15" customHeight="1" x14ac:dyDescent="0.25">
      <c r="M6" s="5"/>
      <c r="N6" s="6"/>
      <c r="O6" s="6"/>
      <c r="P6" s="6"/>
      <c r="Q6" s="6"/>
      <c r="R6" s="6"/>
      <c r="S6" s="6"/>
      <c r="T6" s="6"/>
      <c r="U6" s="6"/>
      <c r="V6" s="6"/>
      <c r="W6" s="6"/>
      <c r="X6" s="6"/>
      <c r="Y6" s="6"/>
      <c r="Z6" s="6"/>
      <c r="AA6" s="6"/>
      <c r="AB6" s="6"/>
      <c r="AC6" s="6"/>
      <c r="AD6" s="6"/>
      <c r="AE6" s="6"/>
      <c r="AF6" s="6"/>
      <c r="AG6" s="6"/>
      <c r="AH6" s="6"/>
      <c r="AI6" s="6"/>
      <c r="AJ6" s="6"/>
      <c r="AK6" s="7"/>
    </row>
    <row r="7" spans="13:37" ht="15" customHeight="1" x14ac:dyDescent="0.25">
      <c r="M7" s="5"/>
      <c r="N7" s="6"/>
      <c r="O7" s="6"/>
      <c r="P7" s="6"/>
      <c r="Q7" s="6"/>
      <c r="R7" s="6"/>
      <c r="S7" s="6"/>
      <c r="T7" s="6"/>
      <c r="U7" s="6"/>
      <c r="V7" s="6"/>
      <c r="W7" s="6"/>
      <c r="X7" s="6"/>
      <c r="Y7" s="6"/>
      <c r="Z7" s="6"/>
      <c r="AA7" s="6"/>
      <c r="AB7" s="6"/>
      <c r="AC7" s="6"/>
      <c r="AD7" s="6"/>
      <c r="AE7" s="6"/>
      <c r="AF7" s="6"/>
      <c r="AG7" s="6"/>
      <c r="AH7" s="6"/>
      <c r="AI7" s="6"/>
      <c r="AJ7" s="6"/>
      <c r="AK7" s="7"/>
    </row>
    <row r="8" spans="13:37" ht="15" customHeight="1" x14ac:dyDescent="0.25">
      <c r="M8" s="5"/>
      <c r="N8" s="6"/>
      <c r="O8" s="6"/>
      <c r="P8" s="6"/>
      <c r="Q8" s="6"/>
      <c r="R8" s="6"/>
      <c r="S8" s="6"/>
      <c r="T8" s="6"/>
      <c r="U8" s="6"/>
      <c r="V8" s="6"/>
      <c r="W8" s="6"/>
      <c r="X8" s="6"/>
      <c r="Y8" s="6"/>
      <c r="Z8" s="6"/>
      <c r="AA8" s="6"/>
      <c r="AB8" s="6"/>
      <c r="AC8" s="6"/>
      <c r="AD8" s="6"/>
      <c r="AE8" s="6"/>
      <c r="AF8" s="6"/>
      <c r="AG8" s="6"/>
      <c r="AH8" s="6"/>
      <c r="AI8" s="6"/>
      <c r="AJ8" s="6"/>
      <c r="AK8" s="7"/>
    </row>
    <row r="9" spans="13:37" ht="15" customHeight="1" x14ac:dyDescent="0.25">
      <c r="M9" s="5"/>
      <c r="N9" s="6"/>
      <c r="O9" s="6"/>
      <c r="P9" s="6"/>
      <c r="Q9" s="6"/>
      <c r="R9" s="6"/>
      <c r="S9" s="6"/>
      <c r="T9" s="6"/>
      <c r="U9" s="6"/>
      <c r="V9" s="6"/>
      <c r="W9" s="6"/>
      <c r="X9" s="6"/>
      <c r="Y9" s="6"/>
      <c r="Z9" s="6"/>
      <c r="AA9" s="6"/>
      <c r="AB9" s="6"/>
      <c r="AC9" s="6"/>
      <c r="AD9" s="6"/>
      <c r="AE9" s="6"/>
      <c r="AF9" s="6"/>
      <c r="AG9" s="6"/>
      <c r="AH9" s="6"/>
      <c r="AI9" s="6"/>
      <c r="AJ9" s="6"/>
      <c r="AK9" s="7"/>
    </row>
    <row r="10" spans="13:37" ht="15" customHeight="1" x14ac:dyDescent="0.25">
      <c r="M10" s="5"/>
      <c r="N10" s="6"/>
      <c r="O10" s="6"/>
      <c r="P10" s="6"/>
      <c r="Q10" s="6"/>
      <c r="R10" s="6"/>
      <c r="S10" s="6"/>
      <c r="T10" s="6"/>
      <c r="U10" s="6"/>
      <c r="V10" s="6"/>
      <c r="W10" s="6"/>
      <c r="X10" s="6"/>
      <c r="Y10" s="6"/>
      <c r="Z10" s="6"/>
      <c r="AA10" s="6"/>
      <c r="AB10" s="6"/>
      <c r="AC10" s="6"/>
      <c r="AD10" s="6"/>
      <c r="AE10" s="6"/>
      <c r="AF10" s="6"/>
      <c r="AG10" s="6"/>
      <c r="AH10" s="6"/>
      <c r="AI10" s="6"/>
      <c r="AJ10" s="6"/>
      <c r="AK10" s="7"/>
    </row>
    <row r="11" spans="13:37" ht="15" customHeight="1" x14ac:dyDescent="0.25">
      <c r="M11" s="5"/>
      <c r="N11" s="6"/>
      <c r="O11" s="6"/>
      <c r="P11" s="6"/>
      <c r="Q11" s="6"/>
      <c r="R11" s="6"/>
      <c r="S11" s="6"/>
      <c r="T11" s="6"/>
      <c r="U11" s="6"/>
      <c r="V11" s="6"/>
      <c r="W11" s="6"/>
      <c r="X11" s="6"/>
      <c r="Y11" s="6"/>
      <c r="Z11" s="6"/>
      <c r="AA11" s="6"/>
      <c r="AB11" s="6"/>
      <c r="AC11" s="6"/>
      <c r="AD11" s="6"/>
      <c r="AE11" s="6"/>
      <c r="AF11" s="6"/>
      <c r="AG11" s="6"/>
      <c r="AH11" s="6"/>
      <c r="AI11" s="6"/>
      <c r="AJ11" s="6"/>
      <c r="AK11" s="7"/>
    </row>
    <row r="12" spans="13:37" ht="15" customHeight="1" x14ac:dyDescent="0.25">
      <c r="M12" s="5"/>
      <c r="N12" s="6"/>
      <c r="O12" s="6"/>
      <c r="P12" s="6"/>
      <c r="Q12" s="6"/>
      <c r="R12" s="6"/>
      <c r="S12" s="6"/>
      <c r="T12" s="6"/>
      <c r="U12" s="6"/>
      <c r="V12" s="6"/>
      <c r="W12" s="6"/>
      <c r="X12" s="6"/>
      <c r="Y12" s="6"/>
      <c r="Z12" s="6"/>
      <c r="AA12" s="6"/>
      <c r="AB12" s="6"/>
      <c r="AC12" s="6"/>
      <c r="AD12" s="6"/>
      <c r="AE12" s="6"/>
      <c r="AF12" s="6"/>
      <c r="AG12" s="6"/>
      <c r="AH12" s="6"/>
      <c r="AI12" s="6"/>
      <c r="AJ12" s="6"/>
      <c r="AK12" s="7"/>
    </row>
    <row r="13" spans="13:37" ht="15" customHeight="1" x14ac:dyDescent="0.25">
      <c r="M13" s="5"/>
      <c r="N13" s="6"/>
      <c r="O13" s="6"/>
      <c r="P13" s="6"/>
      <c r="Q13" s="6"/>
      <c r="R13" s="6"/>
      <c r="S13" s="6"/>
      <c r="T13" s="6"/>
      <c r="U13" s="6"/>
      <c r="V13" s="6"/>
      <c r="W13" s="6"/>
      <c r="X13" s="6"/>
      <c r="Y13" s="6"/>
      <c r="Z13" s="6"/>
      <c r="AA13" s="6"/>
      <c r="AB13" s="6"/>
      <c r="AC13" s="6"/>
      <c r="AD13" s="6"/>
      <c r="AE13" s="6"/>
      <c r="AF13" s="6"/>
      <c r="AG13" s="6"/>
      <c r="AH13" s="6"/>
      <c r="AI13" s="6"/>
      <c r="AJ13" s="6"/>
      <c r="AK13" s="7"/>
    </row>
    <row r="14" spans="13:37" ht="15" customHeight="1" x14ac:dyDescent="0.25">
      <c r="M14" s="5"/>
      <c r="N14" s="6"/>
      <c r="O14" s="6"/>
      <c r="P14" s="6"/>
      <c r="Q14" s="6"/>
      <c r="R14" s="6"/>
      <c r="S14" s="6"/>
      <c r="T14" s="6"/>
      <c r="U14" s="6"/>
      <c r="V14" s="6"/>
      <c r="W14" s="6"/>
      <c r="X14" s="6"/>
      <c r="Y14" s="6"/>
      <c r="Z14" s="6"/>
      <c r="AA14" s="6"/>
      <c r="AB14" s="6"/>
      <c r="AC14" s="6"/>
      <c r="AD14" s="6"/>
      <c r="AE14" s="6"/>
      <c r="AF14" s="6"/>
      <c r="AG14" s="6"/>
      <c r="AH14" s="6"/>
      <c r="AI14" s="6"/>
      <c r="AJ14" s="6"/>
      <c r="AK14" s="7"/>
    </row>
    <row r="15" spans="13:37" ht="15" customHeight="1" x14ac:dyDescent="0.25">
      <c r="M15" s="5"/>
      <c r="N15" s="6"/>
      <c r="O15" s="6"/>
      <c r="P15" s="6"/>
      <c r="Q15" s="6"/>
      <c r="R15" s="6"/>
      <c r="S15" s="6"/>
      <c r="T15" s="6"/>
      <c r="U15" s="6"/>
      <c r="V15" s="6"/>
      <c r="W15" s="6"/>
      <c r="X15" s="6"/>
      <c r="Y15" s="6"/>
      <c r="Z15" s="6"/>
      <c r="AA15" s="6"/>
      <c r="AB15" s="6"/>
      <c r="AC15" s="6"/>
      <c r="AD15" s="6"/>
      <c r="AE15" s="6"/>
      <c r="AF15" s="6"/>
      <c r="AG15" s="6"/>
      <c r="AH15" s="6"/>
      <c r="AI15" s="6"/>
      <c r="AJ15" s="6"/>
      <c r="AK15" s="7"/>
    </row>
    <row r="16" spans="13:37" ht="15" customHeight="1" x14ac:dyDescent="0.25">
      <c r="M16" s="5"/>
      <c r="N16" s="6"/>
      <c r="O16" s="6"/>
      <c r="P16" s="6"/>
      <c r="Q16" s="6"/>
      <c r="R16" s="6"/>
      <c r="S16" s="6"/>
      <c r="T16" s="6"/>
      <c r="U16" s="6"/>
      <c r="V16" s="6"/>
      <c r="W16" s="6"/>
      <c r="X16" s="6"/>
      <c r="Y16" s="6"/>
      <c r="Z16" s="6"/>
      <c r="AA16" s="6"/>
      <c r="AB16" s="6"/>
      <c r="AC16" s="6"/>
      <c r="AD16" s="6"/>
      <c r="AE16" s="6"/>
      <c r="AF16" s="6"/>
      <c r="AG16" s="6"/>
      <c r="AH16" s="6"/>
      <c r="AI16" s="6"/>
      <c r="AJ16" s="6"/>
      <c r="AK16" s="7"/>
    </row>
    <row r="17" spans="13:37" ht="15" customHeight="1" x14ac:dyDescent="0.25">
      <c r="M17" s="5"/>
      <c r="N17" s="6"/>
      <c r="O17" s="6"/>
      <c r="P17" s="6"/>
      <c r="Q17" s="6"/>
      <c r="R17" s="6"/>
      <c r="S17" s="6"/>
      <c r="T17" s="6"/>
      <c r="U17" s="6"/>
      <c r="V17" s="6"/>
      <c r="W17" s="6"/>
      <c r="X17" s="6"/>
      <c r="Y17" s="6"/>
      <c r="Z17" s="6"/>
      <c r="AA17" s="6"/>
      <c r="AB17" s="6"/>
      <c r="AC17" s="6"/>
      <c r="AD17" s="6"/>
      <c r="AE17" s="6"/>
      <c r="AF17" s="6"/>
      <c r="AG17" s="6"/>
      <c r="AH17" s="6"/>
      <c r="AI17" s="6"/>
      <c r="AJ17" s="6"/>
      <c r="AK17" s="7"/>
    </row>
    <row r="18" spans="13:37" ht="15" customHeight="1" x14ac:dyDescent="0.25">
      <c r="M18" s="5"/>
      <c r="N18" s="6"/>
      <c r="O18" s="6"/>
      <c r="P18" s="6"/>
      <c r="Q18" s="6"/>
      <c r="R18" s="6"/>
      <c r="S18" s="6"/>
      <c r="T18" s="6"/>
      <c r="U18" s="6"/>
      <c r="V18" s="6"/>
      <c r="W18" s="6"/>
      <c r="X18" s="6"/>
      <c r="Y18" s="6"/>
      <c r="Z18" s="6"/>
      <c r="AA18" s="6"/>
      <c r="AB18" s="6"/>
      <c r="AC18" s="6"/>
      <c r="AD18" s="6"/>
      <c r="AE18" s="6"/>
      <c r="AF18" s="6"/>
      <c r="AG18" s="6"/>
      <c r="AH18" s="6"/>
      <c r="AI18" s="6"/>
      <c r="AJ18" s="6"/>
      <c r="AK18" s="7"/>
    </row>
    <row r="19" spans="13:37" ht="15" customHeight="1" x14ac:dyDescent="0.25">
      <c r="M19" s="5"/>
      <c r="N19" s="6"/>
      <c r="O19" s="6"/>
      <c r="P19" s="6"/>
      <c r="Q19" s="6"/>
      <c r="R19" s="6"/>
      <c r="S19" s="6"/>
      <c r="T19" s="6"/>
      <c r="U19" s="6"/>
      <c r="V19" s="6"/>
      <c r="W19" s="6"/>
      <c r="X19" s="6"/>
      <c r="Y19" s="6"/>
      <c r="Z19" s="6"/>
      <c r="AA19" s="6"/>
      <c r="AB19" s="6"/>
      <c r="AC19" s="6"/>
      <c r="AD19" s="6"/>
      <c r="AE19" s="6"/>
      <c r="AF19" s="6"/>
      <c r="AG19" s="6"/>
      <c r="AH19" s="6"/>
      <c r="AI19" s="6"/>
      <c r="AJ19" s="6"/>
      <c r="AK19" s="7"/>
    </row>
    <row r="20" spans="13:37" ht="15" customHeight="1" x14ac:dyDescent="0.25">
      <c r="M20" s="5"/>
      <c r="N20" s="6"/>
      <c r="O20" s="6"/>
      <c r="P20" s="6"/>
      <c r="Q20" s="6"/>
      <c r="R20" s="6"/>
      <c r="S20" s="6"/>
      <c r="T20" s="6"/>
      <c r="U20" s="6"/>
      <c r="V20" s="6"/>
      <c r="W20" s="6"/>
      <c r="X20" s="6"/>
      <c r="Y20" s="6"/>
      <c r="Z20" s="6"/>
      <c r="AA20" s="6"/>
      <c r="AB20" s="6"/>
      <c r="AC20" s="6"/>
      <c r="AD20" s="6"/>
      <c r="AE20" s="6"/>
      <c r="AF20" s="6"/>
      <c r="AG20" s="6"/>
      <c r="AH20" s="6"/>
      <c r="AI20" s="6"/>
      <c r="AJ20" s="6"/>
      <c r="AK20" s="7"/>
    </row>
    <row r="21" spans="13:37" ht="15" customHeight="1" x14ac:dyDescent="0.25">
      <c r="M21" s="5"/>
      <c r="N21" s="6"/>
      <c r="O21" s="6"/>
      <c r="P21" s="6"/>
      <c r="Q21" s="6"/>
      <c r="R21" s="6"/>
      <c r="S21" s="6"/>
      <c r="T21" s="6"/>
      <c r="U21" s="6"/>
      <c r="V21" s="6"/>
      <c r="W21" s="6"/>
      <c r="X21" s="6"/>
      <c r="Y21" s="6"/>
      <c r="Z21" s="6"/>
      <c r="AA21" s="6"/>
      <c r="AB21" s="6"/>
      <c r="AC21" s="6"/>
      <c r="AD21" s="6"/>
      <c r="AE21" s="6"/>
      <c r="AF21" s="6"/>
      <c r="AG21" s="6"/>
      <c r="AH21" s="6"/>
      <c r="AI21" s="6"/>
      <c r="AJ21" s="6"/>
      <c r="AK21" s="7"/>
    </row>
    <row r="22" spans="13:37" ht="15" customHeight="1" x14ac:dyDescent="0.25">
      <c r="M22" s="5"/>
      <c r="N22" s="6"/>
      <c r="O22" s="6"/>
      <c r="P22" s="6"/>
      <c r="Q22" s="6"/>
      <c r="R22" s="6"/>
      <c r="S22" s="6"/>
      <c r="T22" s="6"/>
      <c r="U22" s="6"/>
      <c r="V22" s="6"/>
      <c r="W22" s="6"/>
      <c r="X22" s="6"/>
      <c r="Y22" s="6"/>
      <c r="Z22" s="6"/>
      <c r="AA22" s="6"/>
      <c r="AB22" s="6"/>
      <c r="AC22" s="6"/>
      <c r="AD22" s="6"/>
      <c r="AE22" s="6"/>
      <c r="AF22" s="6"/>
      <c r="AG22" s="6"/>
      <c r="AH22" s="6"/>
      <c r="AI22" s="6"/>
      <c r="AJ22" s="6"/>
      <c r="AK22" s="7"/>
    </row>
    <row r="23" spans="13:37" ht="15" customHeight="1" x14ac:dyDescent="0.25">
      <c r="M23" s="5"/>
      <c r="N23" s="6"/>
      <c r="O23" s="6"/>
      <c r="P23" s="6"/>
      <c r="Q23" s="6"/>
      <c r="R23" s="6"/>
      <c r="S23" s="6"/>
      <c r="T23" s="6"/>
      <c r="U23" s="6"/>
      <c r="V23" s="6"/>
      <c r="W23" s="6"/>
      <c r="X23" s="6"/>
      <c r="Y23" s="6"/>
      <c r="Z23" s="6"/>
      <c r="AA23" s="6"/>
      <c r="AB23" s="6"/>
      <c r="AC23" s="6"/>
      <c r="AD23" s="6"/>
      <c r="AE23" s="6"/>
      <c r="AF23" s="6"/>
      <c r="AG23" s="6"/>
      <c r="AH23" s="6"/>
      <c r="AI23" s="6"/>
      <c r="AJ23" s="6"/>
      <c r="AK23" s="7"/>
    </row>
    <row r="24" spans="13:37" ht="15" customHeight="1" x14ac:dyDescent="0.25">
      <c r="M24" s="5"/>
      <c r="N24" s="6"/>
      <c r="O24" s="6"/>
      <c r="P24" s="6"/>
      <c r="Q24" s="6"/>
      <c r="R24" s="6"/>
      <c r="S24" s="6"/>
      <c r="T24" s="6"/>
      <c r="U24" s="6"/>
      <c r="V24" s="6"/>
      <c r="W24" s="6"/>
      <c r="X24" s="6"/>
      <c r="Y24" s="6"/>
      <c r="Z24" s="6"/>
      <c r="AA24" s="6"/>
      <c r="AB24" s="6"/>
      <c r="AC24" s="6"/>
      <c r="AD24" s="6"/>
      <c r="AE24" s="6"/>
      <c r="AF24" s="6"/>
      <c r="AG24" s="6"/>
      <c r="AH24" s="6"/>
      <c r="AI24" s="6"/>
      <c r="AJ24" s="6"/>
      <c r="AK24" s="7"/>
    </row>
    <row r="25" spans="13:37" ht="15" customHeight="1" x14ac:dyDescent="0.25">
      <c r="M25" s="5"/>
      <c r="N25" s="6"/>
      <c r="O25" s="6"/>
      <c r="P25" s="6"/>
      <c r="Q25" s="6"/>
      <c r="R25" s="6"/>
      <c r="S25" s="6"/>
      <c r="T25" s="6"/>
      <c r="U25" s="6"/>
      <c r="V25" s="6"/>
      <c r="W25" s="6"/>
      <c r="X25" s="6"/>
      <c r="Y25" s="6"/>
      <c r="Z25" s="6"/>
      <c r="AA25" s="6"/>
      <c r="AB25" s="6"/>
      <c r="AC25" s="6"/>
      <c r="AD25" s="6"/>
      <c r="AE25" s="6"/>
      <c r="AF25" s="6"/>
      <c r="AG25" s="6"/>
      <c r="AH25" s="6"/>
      <c r="AI25" s="6"/>
      <c r="AJ25" s="6"/>
      <c r="AK25" s="7"/>
    </row>
    <row r="26" spans="13:37" ht="15" customHeight="1" x14ac:dyDescent="0.25">
      <c r="M26" s="5"/>
      <c r="N26" s="6"/>
      <c r="O26" s="6"/>
      <c r="P26" s="6"/>
      <c r="Q26" s="6"/>
      <c r="R26" s="6"/>
      <c r="S26" s="6"/>
      <c r="T26" s="6"/>
      <c r="U26" s="6"/>
      <c r="V26" s="6"/>
      <c r="W26" s="6"/>
      <c r="X26" s="6"/>
      <c r="Y26" s="6"/>
      <c r="Z26" s="6"/>
      <c r="AA26" s="6"/>
      <c r="AB26" s="6"/>
      <c r="AC26" s="6"/>
      <c r="AD26" s="6"/>
      <c r="AE26" s="6"/>
      <c r="AF26" s="6"/>
      <c r="AG26" s="6"/>
      <c r="AH26" s="6"/>
      <c r="AI26" s="6"/>
      <c r="AJ26" s="6"/>
      <c r="AK26" s="7"/>
    </row>
    <row r="27" spans="13:37" ht="15" customHeight="1" x14ac:dyDescent="0.25">
      <c r="M27" s="5"/>
      <c r="N27" s="6"/>
      <c r="O27" s="6"/>
      <c r="P27" s="6"/>
      <c r="Q27" s="6"/>
      <c r="R27" s="6"/>
      <c r="S27" s="6"/>
      <c r="T27" s="6"/>
      <c r="U27" s="6"/>
      <c r="V27" s="6"/>
      <c r="W27" s="6"/>
      <c r="X27" s="6"/>
      <c r="Y27" s="6"/>
      <c r="Z27" s="6"/>
      <c r="AA27" s="6"/>
      <c r="AB27" s="6"/>
      <c r="AC27" s="6"/>
      <c r="AD27" s="6"/>
      <c r="AE27" s="6"/>
      <c r="AF27" s="6"/>
      <c r="AG27" s="6"/>
      <c r="AH27" s="6"/>
      <c r="AI27" s="6"/>
      <c r="AJ27" s="6"/>
      <c r="AK27" s="7"/>
    </row>
    <row r="28" spans="13:37" ht="15" customHeight="1" x14ac:dyDescent="0.25">
      <c r="M28" s="5"/>
      <c r="N28" s="6"/>
      <c r="O28" s="6"/>
      <c r="P28" s="6"/>
      <c r="Q28" s="6"/>
      <c r="R28" s="6"/>
      <c r="S28" s="6"/>
      <c r="T28" s="6"/>
      <c r="U28" s="6"/>
      <c r="V28" s="6"/>
      <c r="W28" s="6"/>
      <c r="X28" s="6"/>
      <c r="Y28" s="6"/>
      <c r="Z28" s="6"/>
      <c r="AA28" s="6"/>
      <c r="AB28" s="6"/>
      <c r="AC28" s="6"/>
      <c r="AD28" s="6"/>
      <c r="AE28" s="6"/>
      <c r="AF28" s="6"/>
      <c r="AG28" s="6"/>
      <c r="AH28" s="6"/>
      <c r="AI28" s="6"/>
      <c r="AJ28" s="6"/>
      <c r="AK28" s="7"/>
    </row>
    <row r="29" spans="13:37" ht="15" customHeight="1" x14ac:dyDescent="0.25">
      <c r="M29" s="5"/>
      <c r="N29" s="6"/>
      <c r="O29" s="6"/>
      <c r="P29" s="6"/>
      <c r="Q29" s="6"/>
      <c r="R29" s="6"/>
      <c r="S29" s="6"/>
      <c r="T29" s="6"/>
      <c r="U29" s="6"/>
      <c r="V29" s="6"/>
      <c r="W29" s="6"/>
      <c r="X29" s="6"/>
      <c r="Y29" s="6"/>
      <c r="Z29" s="6"/>
      <c r="AA29" s="6"/>
      <c r="AB29" s="6"/>
      <c r="AC29" s="6"/>
      <c r="AD29" s="6"/>
      <c r="AE29" s="6"/>
      <c r="AF29" s="6"/>
      <c r="AG29" s="6"/>
      <c r="AH29" s="6"/>
      <c r="AI29" s="6"/>
      <c r="AJ29" s="6"/>
      <c r="AK29" s="7"/>
    </row>
    <row r="30" spans="13:37" ht="15" customHeight="1" x14ac:dyDescent="0.25">
      <c r="M30" s="5"/>
      <c r="N30" s="6"/>
      <c r="O30" s="6"/>
      <c r="P30" s="6"/>
      <c r="Q30" s="6"/>
      <c r="R30" s="6"/>
      <c r="S30" s="6"/>
      <c r="T30" s="6"/>
      <c r="U30" s="6"/>
      <c r="V30" s="6"/>
      <c r="W30" s="6"/>
      <c r="X30" s="6"/>
      <c r="Y30" s="6"/>
      <c r="Z30" s="6"/>
      <c r="AA30" s="6"/>
      <c r="AB30" s="6"/>
      <c r="AC30" s="6"/>
      <c r="AD30" s="6"/>
      <c r="AE30" s="6"/>
      <c r="AF30" s="6"/>
      <c r="AG30" s="6"/>
      <c r="AH30" s="6"/>
      <c r="AI30" s="6"/>
      <c r="AJ30" s="6"/>
      <c r="AK30" s="7"/>
    </row>
    <row r="31" spans="13:37" ht="15" customHeight="1" x14ac:dyDescent="0.25">
      <c r="M31" s="5"/>
      <c r="N31" s="6"/>
      <c r="O31" s="6"/>
      <c r="P31" s="6"/>
      <c r="Q31" s="6"/>
      <c r="R31" s="6"/>
      <c r="S31" s="6"/>
      <c r="T31" s="6"/>
      <c r="U31" s="6"/>
      <c r="V31" s="6"/>
      <c r="W31" s="6"/>
      <c r="X31" s="6"/>
      <c r="Y31" s="6"/>
      <c r="Z31" s="6"/>
      <c r="AA31" s="6"/>
      <c r="AB31" s="6"/>
      <c r="AC31" s="6"/>
      <c r="AD31" s="6"/>
      <c r="AE31" s="6"/>
      <c r="AF31" s="6"/>
      <c r="AG31" s="6"/>
      <c r="AH31" s="6"/>
      <c r="AI31" s="6"/>
      <c r="AJ31" s="6"/>
      <c r="AK31" s="7"/>
    </row>
    <row r="32" spans="13:37" ht="15" customHeight="1" x14ac:dyDescent="0.25">
      <c r="M32" s="5"/>
      <c r="N32" s="6"/>
      <c r="O32" s="6"/>
      <c r="P32" s="6"/>
      <c r="Q32" s="6"/>
      <c r="R32" s="6"/>
      <c r="S32" s="6"/>
      <c r="T32" s="6"/>
      <c r="U32" s="6"/>
      <c r="V32" s="6"/>
      <c r="W32" s="6"/>
      <c r="X32" s="6"/>
      <c r="Y32" s="6"/>
      <c r="Z32" s="6"/>
      <c r="AA32" s="6"/>
      <c r="AB32" s="6"/>
      <c r="AC32" s="6"/>
      <c r="AD32" s="6"/>
      <c r="AE32" s="6"/>
      <c r="AF32" s="6"/>
      <c r="AG32" s="6"/>
      <c r="AH32" s="6"/>
      <c r="AI32" s="6"/>
      <c r="AJ32" s="6"/>
      <c r="AK32" s="7"/>
    </row>
    <row r="33" spans="13:37" ht="15" customHeight="1" x14ac:dyDescent="0.25">
      <c r="M33" s="5"/>
      <c r="N33" s="6"/>
      <c r="O33" s="6"/>
      <c r="P33" s="6"/>
      <c r="Q33" s="6"/>
      <c r="R33" s="6"/>
      <c r="S33" s="6"/>
      <c r="T33" s="6"/>
      <c r="U33" s="6"/>
      <c r="V33" s="6"/>
      <c r="W33" s="6"/>
      <c r="X33" s="6"/>
      <c r="Y33" s="6"/>
      <c r="Z33" s="6"/>
      <c r="AA33" s="6"/>
      <c r="AB33" s="6"/>
      <c r="AC33" s="6"/>
      <c r="AD33" s="6"/>
      <c r="AE33" s="6"/>
      <c r="AF33" s="6"/>
      <c r="AG33" s="6"/>
      <c r="AH33" s="6"/>
      <c r="AI33" s="6"/>
      <c r="AJ33" s="6"/>
      <c r="AK33" s="7"/>
    </row>
    <row r="34" spans="13:37" ht="15" customHeight="1" x14ac:dyDescent="0.25">
      <c r="M34" s="5"/>
      <c r="N34" s="6"/>
      <c r="O34" s="6"/>
      <c r="P34" s="6"/>
      <c r="Q34" s="6"/>
      <c r="R34" s="6"/>
      <c r="S34" s="6"/>
      <c r="T34" s="6"/>
      <c r="U34" s="6"/>
      <c r="V34" s="6"/>
      <c r="W34" s="6"/>
      <c r="X34" s="6"/>
      <c r="Y34" s="6"/>
      <c r="Z34" s="6"/>
      <c r="AA34" s="6"/>
      <c r="AB34" s="6"/>
      <c r="AC34" s="6"/>
      <c r="AD34" s="6"/>
      <c r="AE34" s="6"/>
      <c r="AF34" s="6"/>
      <c r="AG34" s="6"/>
      <c r="AH34" s="6"/>
      <c r="AI34" s="6"/>
      <c r="AJ34" s="6"/>
      <c r="AK34" s="7"/>
    </row>
    <row r="35" spans="13:37" ht="15" customHeight="1" x14ac:dyDescent="0.25">
      <c r="M35" s="5"/>
      <c r="N35" s="6"/>
      <c r="O35" s="6"/>
      <c r="P35" s="6"/>
      <c r="Q35" s="6"/>
      <c r="R35" s="6"/>
      <c r="S35" s="6"/>
      <c r="T35" s="6"/>
      <c r="U35" s="6"/>
      <c r="V35" s="6"/>
      <c r="W35" s="6"/>
      <c r="X35" s="6"/>
      <c r="Y35" s="6"/>
      <c r="Z35" s="6"/>
      <c r="AA35" s="6"/>
      <c r="AB35" s="6"/>
      <c r="AC35" s="6"/>
      <c r="AD35" s="6"/>
      <c r="AE35" s="6"/>
      <c r="AF35" s="6"/>
      <c r="AG35" s="6"/>
      <c r="AH35" s="6"/>
      <c r="AI35" s="6"/>
      <c r="AJ35" s="6"/>
      <c r="AK35" s="7"/>
    </row>
    <row r="36" spans="13:37" ht="15" customHeight="1" x14ac:dyDescent="0.25">
      <c r="M36" s="5"/>
      <c r="N36" s="6"/>
      <c r="O36" s="6"/>
      <c r="P36" s="6"/>
      <c r="Q36" s="6"/>
      <c r="R36" s="6"/>
      <c r="S36" s="6"/>
      <c r="T36" s="6"/>
      <c r="U36" s="6"/>
      <c r="V36" s="6"/>
      <c r="W36" s="6"/>
      <c r="X36" s="6"/>
      <c r="Y36" s="6"/>
      <c r="Z36" s="6"/>
      <c r="AA36" s="6"/>
      <c r="AB36" s="6"/>
      <c r="AC36" s="6"/>
      <c r="AD36" s="6"/>
      <c r="AE36" s="6"/>
      <c r="AF36" s="6"/>
      <c r="AG36" s="6"/>
      <c r="AH36" s="6"/>
      <c r="AI36" s="6"/>
      <c r="AJ36" s="6"/>
      <c r="AK36" s="7"/>
    </row>
    <row r="37" spans="13:37" ht="15" customHeight="1" x14ac:dyDescent="0.25">
      <c r="M37" s="5"/>
      <c r="N37" s="6"/>
      <c r="O37" s="6"/>
      <c r="P37" s="6"/>
      <c r="Q37" s="6"/>
      <c r="R37" s="6"/>
      <c r="S37" s="6"/>
      <c r="T37" s="6"/>
      <c r="U37" s="6"/>
      <c r="V37" s="6"/>
      <c r="W37" s="6"/>
      <c r="X37" s="6"/>
      <c r="Y37" s="6"/>
      <c r="Z37" s="6"/>
      <c r="AA37" s="6"/>
      <c r="AB37" s="6"/>
      <c r="AC37" s="6"/>
      <c r="AD37" s="6"/>
      <c r="AE37" s="6"/>
      <c r="AF37" s="6"/>
      <c r="AG37" s="6"/>
      <c r="AH37" s="6"/>
      <c r="AI37" s="6"/>
      <c r="AJ37" s="6"/>
      <c r="AK37" s="7"/>
    </row>
    <row r="38" spans="13:37" ht="15" customHeight="1" x14ac:dyDescent="0.25">
      <c r="M38" s="5"/>
      <c r="N38" s="6"/>
      <c r="O38" s="6"/>
      <c r="P38" s="6"/>
      <c r="Q38" s="6"/>
      <c r="R38" s="6"/>
      <c r="S38" s="6"/>
      <c r="T38" s="6"/>
      <c r="U38" s="6"/>
      <c r="V38" s="6"/>
      <c r="W38" s="6"/>
      <c r="X38" s="6"/>
      <c r="Y38" s="6"/>
      <c r="Z38" s="6"/>
      <c r="AA38" s="6"/>
      <c r="AB38" s="6"/>
      <c r="AC38" s="6"/>
      <c r="AD38" s="6"/>
      <c r="AE38" s="6"/>
      <c r="AF38" s="6"/>
      <c r="AG38" s="6"/>
      <c r="AH38" s="6"/>
      <c r="AI38" s="6"/>
      <c r="AJ38" s="6"/>
      <c r="AK38" s="7"/>
    </row>
    <row r="39" spans="13:37" ht="15" customHeight="1" x14ac:dyDescent="0.25">
      <c r="M39" s="5"/>
      <c r="N39" s="6"/>
      <c r="O39" s="6"/>
      <c r="P39" s="6"/>
      <c r="Q39" s="6"/>
      <c r="R39" s="6"/>
      <c r="S39" s="6"/>
      <c r="T39" s="6"/>
      <c r="U39" s="6"/>
      <c r="V39" s="6"/>
      <c r="W39" s="6"/>
      <c r="X39" s="6"/>
      <c r="Y39" s="6"/>
      <c r="Z39" s="6"/>
      <c r="AA39" s="6"/>
      <c r="AB39" s="6"/>
      <c r="AC39" s="6"/>
      <c r="AD39" s="6"/>
      <c r="AE39" s="6"/>
      <c r="AF39" s="6"/>
      <c r="AG39" s="6"/>
      <c r="AH39" s="6"/>
      <c r="AI39" s="6"/>
      <c r="AJ39" s="6"/>
      <c r="AK39" s="7"/>
    </row>
    <row r="40" spans="13:37" ht="15" customHeight="1" x14ac:dyDescent="0.25">
      <c r="M40" s="5"/>
      <c r="N40" s="6"/>
      <c r="O40" s="6"/>
      <c r="P40" s="6"/>
      <c r="Q40" s="6"/>
      <c r="R40" s="6"/>
      <c r="S40" s="6"/>
      <c r="T40" s="6"/>
      <c r="U40" s="6"/>
      <c r="V40" s="6"/>
      <c r="W40" s="6"/>
      <c r="X40" s="6"/>
      <c r="Y40" s="6"/>
      <c r="Z40" s="6"/>
      <c r="AA40" s="6"/>
      <c r="AB40" s="6"/>
      <c r="AC40" s="6"/>
      <c r="AD40" s="6"/>
      <c r="AE40" s="6"/>
      <c r="AF40" s="6"/>
      <c r="AG40" s="6"/>
      <c r="AH40" s="6"/>
      <c r="AI40" s="6"/>
      <c r="AJ40" s="6"/>
      <c r="AK40" s="7"/>
    </row>
    <row r="41" spans="13:37" ht="15" customHeight="1" x14ac:dyDescent="0.25">
      <c r="M41" s="5"/>
      <c r="N41" s="6"/>
      <c r="O41" s="6"/>
      <c r="P41" s="6"/>
      <c r="Q41" s="6"/>
      <c r="R41" s="6"/>
      <c r="S41" s="6"/>
      <c r="T41" s="6"/>
      <c r="U41" s="6"/>
      <c r="V41" s="6"/>
      <c r="W41" s="6"/>
      <c r="X41" s="6"/>
      <c r="Y41" s="6"/>
      <c r="Z41" s="6"/>
      <c r="AA41" s="6"/>
      <c r="AB41" s="6"/>
      <c r="AC41" s="6"/>
      <c r="AD41" s="6"/>
      <c r="AE41" s="6"/>
      <c r="AF41" s="6"/>
      <c r="AG41" s="6"/>
      <c r="AH41" s="6"/>
      <c r="AI41" s="6"/>
      <c r="AJ41" s="6"/>
      <c r="AK41" s="7"/>
    </row>
    <row r="42" spans="13:37" ht="15" customHeight="1" x14ac:dyDescent="0.25">
      <c r="M42" s="5"/>
      <c r="N42" s="6"/>
      <c r="O42" s="6"/>
      <c r="P42" s="6"/>
      <c r="Q42" s="6"/>
      <c r="R42" s="6"/>
      <c r="S42" s="6"/>
      <c r="T42" s="6"/>
      <c r="U42" s="6"/>
      <c r="V42" s="6"/>
      <c r="W42" s="6"/>
      <c r="X42" s="6"/>
      <c r="Y42" s="6"/>
      <c r="Z42" s="6"/>
      <c r="AA42" s="6"/>
      <c r="AB42" s="6"/>
      <c r="AC42" s="6"/>
      <c r="AD42" s="6"/>
      <c r="AE42" s="6"/>
      <c r="AF42" s="6"/>
      <c r="AG42" s="6"/>
      <c r="AH42" s="6"/>
      <c r="AI42" s="6"/>
      <c r="AJ42" s="6"/>
      <c r="AK42" s="7"/>
    </row>
    <row r="43" spans="13:37" ht="15" customHeight="1" x14ac:dyDescent="0.25">
      <c r="M43" s="5"/>
      <c r="N43" s="6"/>
      <c r="O43" s="6"/>
      <c r="P43" s="6"/>
      <c r="Q43" s="6"/>
      <c r="R43" s="6"/>
      <c r="S43" s="6"/>
      <c r="T43" s="6"/>
      <c r="U43" s="6"/>
      <c r="V43" s="6"/>
      <c r="W43" s="6"/>
      <c r="X43" s="6"/>
      <c r="Y43" s="6"/>
      <c r="Z43" s="6"/>
      <c r="AA43" s="6"/>
      <c r="AB43" s="6"/>
      <c r="AC43" s="6"/>
      <c r="AD43" s="6"/>
      <c r="AE43" s="6"/>
      <c r="AF43" s="6"/>
      <c r="AG43" s="6"/>
      <c r="AH43" s="6"/>
      <c r="AI43" s="6"/>
      <c r="AJ43" s="6"/>
      <c r="AK43" s="7"/>
    </row>
    <row r="44" spans="13:37" ht="15" customHeight="1" x14ac:dyDescent="0.25">
      <c r="M44" s="5"/>
      <c r="N44" s="6"/>
      <c r="O44" s="6"/>
      <c r="P44" s="6"/>
      <c r="Q44" s="6"/>
      <c r="R44" s="6"/>
      <c r="S44" s="6"/>
      <c r="T44" s="6"/>
      <c r="U44" s="6"/>
      <c r="V44" s="6"/>
      <c r="W44" s="6"/>
      <c r="X44" s="6"/>
      <c r="Y44" s="6"/>
      <c r="Z44" s="6"/>
      <c r="AA44" s="6"/>
      <c r="AB44" s="6"/>
      <c r="AC44" s="6"/>
      <c r="AD44" s="6"/>
      <c r="AE44" s="6"/>
      <c r="AF44" s="6"/>
      <c r="AG44" s="6"/>
      <c r="AH44" s="6"/>
      <c r="AI44" s="6"/>
      <c r="AJ44" s="6"/>
      <c r="AK44" s="7"/>
    </row>
    <row r="45" spans="13:37" ht="15" customHeight="1" x14ac:dyDescent="0.25">
      <c r="M45" s="5"/>
      <c r="N45" s="6"/>
      <c r="O45" s="6"/>
      <c r="P45" s="6"/>
      <c r="Q45" s="6"/>
      <c r="R45" s="6"/>
      <c r="S45" s="6"/>
      <c r="T45" s="6"/>
      <c r="U45" s="6"/>
      <c r="V45" s="6"/>
      <c r="W45" s="6"/>
      <c r="X45" s="6"/>
      <c r="Y45" s="6"/>
      <c r="Z45" s="6"/>
      <c r="AA45" s="6"/>
      <c r="AB45" s="6"/>
      <c r="AC45" s="6"/>
      <c r="AD45" s="6"/>
      <c r="AE45" s="6"/>
      <c r="AF45" s="6"/>
      <c r="AG45" s="6"/>
      <c r="AH45" s="6"/>
      <c r="AI45" s="6"/>
      <c r="AJ45" s="6"/>
      <c r="AK45" s="7"/>
    </row>
    <row r="46" spans="13:37" ht="15" customHeight="1" x14ac:dyDescent="0.25">
      <c r="M46" s="5"/>
      <c r="N46" s="6"/>
      <c r="O46" s="6"/>
      <c r="P46" s="6"/>
      <c r="Q46" s="6"/>
      <c r="R46" s="6"/>
      <c r="S46" s="6"/>
      <c r="T46" s="6"/>
      <c r="U46" s="6"/>
      <c r="V46" s="6"/>
      <c r="W46" s="6"/>
      <c r="X46" s="6"/>
      <c r="Y46" s="6"/>
      <c r="Z46" s="6"/>
      <c r="AA46" s="6"/>
      <c r="AB46" s="6"/>
      <c r="AC46" s="6"/>
      <c r="AD46" s="6"/>
      <c r="AE46" s="6"/>
      <c r="AF46" s="6"/>
      <c r="AG46" s="6"/>
      <c r="AH46" s="6"/>
      <c r="AI46" s="6"/>
      <c r="AJ46" s="6"/>
      <c r="AK46" s="7"/>
    </row>
    <row r="47" spans="13:37" ht="15" customHeight="1" x14ac:dyDescent="0.25">
      <c r="M47" s="5"/>
      <c r="N47" s="6"/>
      <c r="O47" s="6"/>
      <c r="P47" s="6"/>
      <c r="Q47" s="6"/>
      <c r="R47" s="6"/>
      <c r="S47" s="6"/>
      <c r="T47" s="6"/>
      <c r="U47" s="6"/>
      <c r="V47" s="6"/>
      <c r="W47" s="6"/>
      <c r="X47" s="6"/>
      <c r="Y47" s="6"/>
      <c r="Z47" s="6"/>
      <c r="AA47" s="6"/>
      <c r="AB47" s="6"/>
      <c r="AC47" s="6"/>
      <c r="AD47" s="6"/>
      <c r="AE47" s="6"/>
      <c r="AF47" s="6"/>
      <c r="AG47" s="6"/>
      <c r="AH47" s="6"/>
      <c r="AI47" s="6"/>
      <c r="AJ47" s="6"/>
      <c r="AK47" s="7"/>
    </row>
    <row r="48" spans="13:37" ht="15" customHeight="1" x14ac:dyDescent="0.25">
      <c r="M48" s="5"/>
      <c r="N48" s="6"/>
      <c r="O48" s="6"/>
      <c r="P48" s="6"/>
      <c r="Q48" s="6"/>
      <c r="R48" s="6"/>
      <c r="S48" s="6"/>
      <c r="T48" s="6"/>
      <c r="U48" s="6"/>
      <c r="V48" s="6"/>
      <c r="W48" s="6"/>
      <c r="X48" s="6"/>
      <c r="Y48" s="6"/>
      <c r="Z48" s="6"/>
      <c r="AA48" s="6"/>
      <c r="AB48" s="6"/>
      <c r="AC48" s="6"/>
      <c r="AD48" s="6"/>
      <c r="AE48" s="6"/>
      <c r="AF48" s="6"/>
      <c r="AG48" s="6"/>
      <c r="AH48" s="6"/>
      <c r="AI48" s="6"/>
      <c r="AJ48" s="6"/>
      <c r="AK48" s="7"/>
    </row>
    <row r="49" spans="13:37" ht="15" customHeight="1" x14ac:dyDescent="0.25">
      <c r="M49" s="5"/>
      <c r="N49" s="6"/>
      <c r="O49" s="6"/>
      <c r="P49" s="6"/>
      <c r="Q49" s="6"/>
      <c r="R49" s="6"/>
      <c r="S49" s="6"/>
      <c r="T49" s="6"/>
      <c r="U49" s="6"/>
      <c r="V49" s="6"/>
      <c r="W49" s="6"/>
      <c r="X49" s="6"/>
      <c r="Y49" s="6"/>
      <c r="Z49" s="6"/>
      <c r="AA49" s="6"/>
      <c r="AB49" s="6"/>
      <c r="AC49" s="6"/>
      <c r="AD49" s="6"/>
      <c r="AE49" s="6"/>
      <c r="AF49" s="6"/>
      <c r="AG49" s="6"/>
      <c r="AH49" s="6"/>
      <c r="AI49" s="6"/>
      <c r="AJ49" s="6"/>
      <c r="AK49" s="7"/>
    </row>
    <row r="50" spans="13:37" ht="15" customHeight="1" x14ac:dyDescent="0.25">
      <c r="M50" s="5"/>
      <c r="N50" s="6"/>
      <c r="O50" s="6"/>
      <c r="P50" s="6"/>
      <c r="Q50" s="6"/>
      <c r="R50" s="6"/>
      <c r="S50" s="6"/>
      <c r="T50" s="6"/>
      <c r="U50" s="6"/>
      <c r="V50" s="6"/>
      <c r="W50" s="6"/>
      <c r="X50" s="6"/>
      <c r="Y50" s="6"/>
      <c r="Z50" s="6"/>
      <c r="AA50" s="6"/>
      <c r="AB50" s="6"/>
      <c r="AC50" s="6"/>
      <c r="AD50" s="6"/>
      <c r="AE50" s="6"/>
      <c r="AF50" s="6"/>
      <c r="AG50" s="6"/>
      <c r="AH50" s="6"/>
      <c r="AI50" s="6"/>
      <c r="AJ50" s="6"/>
      <c r="AK50" s="7"/>
    </row>
    <row r="51" spans="13:37" ht="15" customHeight="1" x14ac:dyDescent="0.25">
      <c r="M51" s="5"/>
      <c r="N51" s="6"/>
      <c r="O51" s="6"/>
      <c r="P51" s="6"/>
      <c r="Q51" s="6"/>
      <c r="R51" s="6"/>
      <c r="S51" s="6"/>
      <c r="T51" s="6"/>
      <c r="U51" s="6"/>
      <c r="V51" s="6"/>
      <c r="W51" s="6"/>
      <c r="X51" s="6"/>
      <c r="Y51" s="6"/>
      <c r="Z51" s="6"/>
      <c r="AA51" s="6"/>
      <c r="AB51" s="6"/>
      <c r="AC51" s="6"/>
      <c r="AD51" s="6"/>
      <c r="AE51" s="6"/>
      <c r="AF51" s="6"/>
      <c r="AG51" s="6"/>
      <c r="AH51" s="6"/>
      <c r="AI51" s="6"/>
      <c r="AJ51" s="6"/>
      <c r="AK51" s="7"/>
    </row>
    <row r="52" spans="13:37" ht="15" customHeight="1" x14ac:dyDescent="0.25">
      <c r="M52" s="5"/>
      <c r="N52" s="6"/>
      <c r="O52" s="6"/>
      <c r="P52" s="6"/>
      <c r="Q52" s="6"/>
      <c r="R52" s="6"/>
      <c r="S52" s="6"/>
      <c r="T52" s="6"/>
      <c r="U52" s="6"/>
      <c r="V52" s="6"/>
      <c r="W52" s="6"/>
      <c r="X52" s="6"/>
      <c r="Y52" s="6"/>
      <c r="Z52" s="6"/>
      <c r="AA52" s="6"/>
      <c r="AB52" s="6"/>
      <c r="AC52" s="6"/>
      <c r="AD52" s="6"/>
      <c r="AE52" s="6"/>
      <c r="AF52" s="6"/>
      <c r="AG52" s="6"/>
      <c r="AH52" s="6"/>
      <c r="AI52" s="6"/>
      <c r="AJ52" s="6"/>
      <c r="AK52" s="7"/>
    </row>
    <row r="53" spans="13:37" ht="15" customHeight="1" x14ac:dyDescent="0.25">
      <c r="M53" s="5"/>
      <c r="N53" s="6"/>
      <c r="O53" s="6"/>
      <c r="P53" s="6"/>
      <c r="Q53" s="6"/>
      <c r="R53" s="6"/>
      <c r="S53" s="6"/>
      <c r="T53" s="6"/>
      <c r="U53" s="6"/>
      <c r="V53" s="6"/>
      <c r="W53" s="6"/>
      <c r="X53" s="6"/>
      <c r="Y53" s="6"/>
      <c r="Z53" s="6"/>
      <c r="AA53" s="6"/>
      <c r="AB53" s="6"/>
      <c r="AC53" s="6"/>
      <c r="AD53" s="6"/>
      <c r="AE53" s="6"/>
      <c r="AF53" s="6"/>
      <c r="AG53" s="6"/>
      <c r="AH53" s="6"/>
      <c r="AI53" s="6"/>
      <c r="AJ53" s="6"/>
      <c r="AK53" s="7"/>
    </row>
    <row r="54" spans="13:37" ht="15" customHeight="1" x14ac:dyDescent="0.25">
      <c r="M54" s="5"/>
      <c r="N54" s="6"/>
      <c r="O54" s="6"/>
      <c r="P54" s="6"/>
      <c r="Q54" s="6"/>
      <c r="R54" s="6"/>
      <c r="S54" s="6"/>
      <c r="T54" s="6"/>
      <c r="U54" s="6"/>
      <c r="V54" s="6"/>
      <c r="W54" s="6"/>
      <c r="X54" s="6"/>
      <c r="Y54" s="6"/>
      <c r="Z54" s="6"/>
      <c r="AA54" s="6"/>
      <c r="AB54" s="6"/>
      <c r="AC54" s="6"/>
      <c r="AD54" s="6"/>
      <c r="AE54" s="6"/>
      <c r="AF54" s="6"/>
      <c r="AG54" s="6"/>
      <c r="AH54" s="6"/>
      <c r="AI54" s="6"/>
      <c r="AJ54" s="6"/>
      <c r="AK54" s="7"/>
    </row>
    <row r="55" spans="13:37" ht="15" customHeight="1" x14ac:dyDescent="0.25">
      <c r="M55" s="5"/>
      <c r="N55" s="6"/>
      <c r="O55" s="6"/>
      <c r="P55" s="6"/>
      <c r="Q55" s="6"/>
      <c r="R55" s="6"/>
      <c r="S55" s="6"/>
      <c r="T55" s="6"/>
      <c r="U55" s="6"/>
      <c r="V55" s="6"/>
      <c r="W55" s="6"/>
      <c r="X55" s="6"/>
      <c r="Y55" s="6"/>
      <c r="Z55" s="6"/>
      <c r="AA55" s="6"/>
      <c r="AB55" s="6"/>
      <c r="AC55" s="6"/>
      <c r="AD55" s="6"/>
      <c r="AE55" s="6"/>
      <c r="AF55" s="6"/>
      <c r="AG55" s="6"/>
      <c r="AH55" s="6"/>
      <c r="AI55" s="6"/>
      <c r="AJ55" s="6"/>
      <c r="AK55" s="7"/>
    </row>
    <row r="56" spans="13:37" ht="15" customHeight="1" x14ac:dyDescent="0.25">
      <c r="M56" s="5"/>
      <c r="N56" s="6"/>
      <c r="O56" s="6"/>
      <c r="P56" s="6"/>
      <c r="Q56" s="6"/>
      <c r="R56" s="6"/>
      <c r="S56" s="6"/>
      <c r="T56" s="6"/>
      <c r="U56" s="6"/>
      <c r="V56" s="6"/>
      <c r="W56" s="6"/>
      <c r="X56" s="6"/>
      <c r="Y56" s="6"/>
      <c r="Z56" s="6"/>
      <c r="AA56" s="6"/>
      <c r="AB56" s="6"/>
      <c r="AC56" s="6"/>
      <c r="AD56" s="6"/>
      <c r="AE56" s="6"/>
      <c r="AF56" s="6"/>
      <c r="AG56" s="6"/>
      <c r="AH56" s="6"/>
      <c r="AI56" s="6"/>
      <c r="AJ56" s="6"/>
      <c r="AK56" s="7"/>
    </row>
    <row r="57" spans="13:37" ht="15" customHeight="1" x14ac:dyDescent="0.25">
      <c r="M57" s="5"/>
      <c r="N57" s="6"/>
      <c r="O57" s="6"/>
      <c r="P57" s="6"/>
      <c r="Q57" s="6"/>
      <c r="R57" s="6"/>
      <c r="S57" s="6"/>
      <c r="T57" s="6"/>
      <c r="U57" s="6"/>
      <c r="V57" s="6"/>
      <c r="W57" s="6"/>
      <c r="X57" s="6"/>
      <c r="Y57" s="6"/>
      <c r="Z57" s="6"/>
      <c r="AA57" s="6"/>
      <c r="AB57" s="6"/>
      <c r="AC57" s="6"/>
      <c r="AD57" s="6"/>
      <c r="AE57" s="6"/>
      <c r="AF57" s="6"/>
      <c r="AG57" s="6"/>
      <c r="AH57" s="6"/>
      <c r="AI57" s="6"/>
      <c r="AJ57" s="6"/>
      <c r="AK57" s="7"/>
    </row>
    <row r="58" spans="13:37" ht="15" customHeight="1" thickBot="1" x14ac:dyDescent="0.3">
      <c r="M58" s="8"/>
      <c r="N58" s="9"/>
      <c r="O58" s="9"/>
      <c r="P58" s="9"/>
      <c r="Q58" s="9"/>
      <c r="R58" s="9"/>
      <c r="S58" s="9"/>
      <c r="T58" s="9"/>
      <c r="U58" s="9"/>
      <c r="V58" s="9"/>
      <c r="W58" s="9"/>
      <c r="X58" s="9"/>
      <c r="Y58" s="9"/>
      <c r="Z58" s="9"/>
      <c r="AA58" s="9"/>
      <c r="AB58" s="9"/>
      <c r="AC58" s="9"/>
      <c r="AD58" s="9"/>
      <c r="AE58" s="9"/>
      <c r="AF58" s="9"/>
      <c r="AG58" s="9"/>
      <c r="AH58" s="9"/>
      <c r="AI58" s="9"/>
      <c r="AJ58" s="9"/>
      <c r="AK58" s="10"/>
    </row>
    <row r="80" ht="15.75" customHeight="1" x14ac:dyDescent="0.25"/>
  </sheetData>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7"/>
  <sheetViews>
    <sheetView showGridLines="0" zoomScaleNormal="100" workbookViewId="0">
      <pane ySplit="1" topLeftCell="A2" activePane="bottomLeft" state="frozen"/>
      <selection pane="bottomLeft" activeCell="F12" sqref="F12"/>
    </sheetView>
  </sheetViews>
  <sheetFormatPr defaultColWidth="8.7109375" defaultRowHeight="15" customHeight="1" x14ac:dyDescent="0.25"/>
  <cols>
    <col min="1" max="1" width="34.7109375" customWidth="1"/>
    <col min="2" max="4" width="22.7109375" customWidth="1"/>
    <col min="5" max="5" width="23.5703125" customWidth="1"/>
    <col min="6" max="6" width="19.85546875" customWidth="1"/>
  </cols>
  <sheetData>
    <row r="1" spans="1:6" ht="15" customHeight="1" x14ac:dyDescent="0.3">
      <c r="A1" s="11" t="s">
        <v>147</v>
      </c>
    </row>
    <row r="2" spans="1:6" ht="15" customHeight="1" x14ac:dyDescent="0.25">
      <c r="F2" s="32"/>
    </row>
    <row r="3" spans="1:6" ht="15" customHeight="1" x14ac:dyDescent="0.25">
      <c r="F3" s="34"/>
    </row>
    <row r="4" spans="1:6" ht="15" customHeight="1" x14ac:dyDescent="0.25">
      <c r="A4" s="35" t="s">
        <v>59</v>
      </c>
      <c r="B4" s="35" t="s">
        <v>60</v>
      </c>
      <c r="C4" s="35" t="s">
        <v>61</v>
      </c>
      <c r="D4" s="35" t="s">
        <v>68</v>
      </c>
      <c r="E4" s="35" t="s">
        <v>69</v>
      </c>
      <c r="F4" s="35" t="s">
        <v>64</v>
      </c>
    </row>
    <row r="5" spans="1:6" ht="15" customHeight="1" x14ac:dyDescent="0.25">
      <c r="A5" s="13" t="s">
        <v>1</v>
      </c>
      <c r="B5" s="23">
        <f>Val_PSKY!E44</f>
        <v>0.12</v>
      </c>
      <c r="C5" s="24">
        <f>Val_PSKY!E45</f>
        <v>-1373.6617680670329</v>
      </c>
      <c r="D5" s="24">
        <f>Val_PSKY!E46</f>
        <v>1.6433496402877699</v>
      </c>
      <c r="E5" s="24">
        <f>Val_PSKY!E47</f>
        <v>17737.719102086972</v>
      </c>
      <c r="F5" s="24">
        <f>Val_PSKY!E48</f>
        <v>15.951186242883967</v>
      </c>
    </row>
    <row r="6" spans="1:6" ht="15" customHeight="1" x14ac:dyDescent="0.25">
      <c r="A6" s="13" t="s">
        <v>2</v>
      </c>
      <c r="B6" s="23">
        <f>Val_WBD!E44</f>
        <v>0.1255</v>
      </c>
      <c r="C6" s="24">
        <f>Val_WBD!E45</f>
        <v>46.713404718541582</v>
      </c>
      <c r="D6" s="24">
        <f>Val_WBD!E46</f>
        <v>1.5164608955223882</v>
      </c>
      <c r="E6" s="24">
        <f>Val_WBD!E47</f>
        <v>28613.036794668355</v>
      </c>
      <c r="F6" s="24">
        <f>Val_WBD!E48</f>
        <v>10.950262837607484</v>
      </c>
    </row>
    <row r="7" spans="1:6" ht="15" customHeight="1" x14ac:dyDescent="0.25">
      <c r="A7" s="13" t="s">
        <v>3</v>
      </c>
      <c r="B7" s="23">
        <f>Val_Combined!E44</f>
        <v>0.11725000000000001</v>
      </c>
      <c r="C7" s="24">
        <f>Val_Combined!E45</f>
        <v>39.202840253630349</v>
      </c>
      <c r="D7" s="24">
        <f>Val_Combined!E46</f>
        <v>5.2258939568345335</v>
      </c>
      <c r="E7" s="24">
        <f>Val_Combined!E47</f>
        <v>52216.203006827011</v>
      </c>
      <c r="F7" s="24">
        <f>Val_Combined!E48</f>
        <v>46.957017092470331</v>
      </c>
    </row>
  </sheetData>
  <pageMargins left="0.7" right="0.7" top="0.75" bottom="0.75" header="0.511811023622047" footer="0.511811023622047"/>
  <pageSetup paperSize="9" scale="89" orientation="landscape" horizontalDpi="300" verticalDpi="300" r:id="rId1"/>
  <headerFooter scaleWithDoc="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2D97D-3F14-2A41-A729-6E64CBAA364E}">
  <sheetPr>
    <tabColor theme="6" tint="0.39997558519241921"/>
  </sheetPr>
  <dimension ref="A1"/>
  <sheetViews>
    <sheetView topLeftCell="G1" workbookViewId="0">
      <selection activeCell="M16" sqref="M16"/>
    </sheetView>
  </sheetViews>
  <sheetFormatPr defaultColWidth="10.7109375" defaultRowHeight="15" x14ac:dyDescent="0.25"/>
  <cols>
    <col min="1" max="16384" width="10.7109375" style="36"/>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7"/>
  <sheetViews>
    <sheetView showGridLines="0" zoomScaleNormal="100" workbookViewId="0">
      <pane ySplit="1" topLeftCell="A9" activePane="bottomLeft" state="frozen"/>
      <selection pane="bottomLeft" activeCell="C20" sqref="C20"/>
    </sheetView>
  </sheetViews>
  <sheetFormatPr defaultColWidth="8.7109375" defaultRowHeight="15" customHeight="1" x14ac:dyDescent="0.25"/>
  <cols>
    <col min="1" max="1" width="25.7109375" customWidth="1"/>
    <col min="2" max="4" width="22.7109375" customWidth="1"/>
    <col min="5" max="5" width="16" customWidth="1"/>
    <col min="6" max="9" width="36.7109375" customWidth="1"/>
  </cols>
  <sheetData>
    <row r="1" spans="1:6" ht="18.75" customHeight="1" x14ac:dyDescent="0.3">
      <c r="A1" s="11" t="s">
        <v>56</v>
      </c>
    </row>
    <row r="3" spans="1:6" ht="15" customHeight="1" x14ac:dyDescent="0.25">
      <c r="A3" s="13" t="s">
        <v>57</v>
      </c>
      <c r="B3" t="s">
        <v>1</v>
      </c>
    </row>
    <row r="6" spans="1:6" ht="15" customHeight="1" x14ac:dyDescent="0.25">
      <c r="A6" s="22" t="s">
        <v>58</v>
      </c>
    </row>
    <row r="7" spans="1:6" ht="15" customHeight="1" x14ac:dyDescent="0.25">
      <c r="A7" s="12" t="s">
        <v>59</v>
      </c>
      <c r="B7" s="12" t="s">
        <v>60</v>
      </c>
      <c r="C7" s="12" t="s">
        <v>61</v>
      </c>
      <c r="D7" s="12" t="s">
        <v>62</v>
      </c>
      <c r="E7" s="12" t="s">
        <v>63</v>
      </c>
      <c r="F7" s="12" t="s">
        <v>64</v>
      </c>
    </row>
    <row r="8" spans="1:6" ht="15" customHeight="1" x14ac:dyDescent="0.25">
      <c r="A8" s="13" t="s">
        <v>1</v>
      </c>
      <c r="B8" s="23">
        <f>Val_PSKY!E44</f>
        <v>0.12</v>
      </c>
      <c r="C8" s="24">
        <f>Val_PSKY!E45</f>
        <v>-1373.6617680670329</v>
      </c>
      <c r="D8" s="24">
        <f>Val_PSKY!E46</f>
        <v>1.6433496402877699</v>
      </c>
      <c r="E8" s="24">
        <f>Val_PSKY!E47</f>
        <v>17737.719102086972</v>
      </c>
      <c r="F8" s="25">
        <f>+E8/Val_PSKY!B11</f>
        <v>15.951186242883967</v>
      </c>
    </row>
    <row r="9" spans="1:6" ht="15" customHeight="1" x14ac:dyDescent="0.25">
      <c r="A9" s="13" t="s">
        <v>2</v>
      </c>
      <c r="B9" s="23">
        <f>Val_WBD!E44</f>
        <v>0.1255</v>
      </c>
      <c r="C9" s="24">
        <f>Val_WBD!E45</f>
        <v>46.713404718541582</v>
      </c>
      <c r="D9" s="24">
        <f>Val_WBD!E46</f>
        <v>1.5164608955223882</v>
      </c>
      <c r="E9" s="24">
        <f>Val_WBD!E47</f>
        <v>28613.036794668355</v>
      </c>
      <c r="F9" s="25">
        <f>+E9/Val_WBD!B11</f>
        <v>10.950262837607484</v>
      </c>
    </row>
    <row r="10" spans="1:6" ht="15" customHeight="1" x14ac:dyDescent="0.25">
      <c r="A10" s="13" t="s">
        <v>3</v>
      </c>
      <c r="B10" s="23">
        <f>Val_Combined!E44</f>
        <v>0.11725000000000001</v>
      </c>
      <c r="C10" s="24">
        <f>Val_Combined!E45</f>
        <v>39.202840253630349</v>
      </c>
      <c r="D10" s="24">
        <f>Val_Combined!E46</f>
        <v>5.2258939568345335</v>
      </c>
      <c r="E10" s="24">
        <f>Val_Combined!E47</f>
        <v>52216.203006827011</v>
      </c>
      <c r="F10" s="25">
        <f>Val_Combined!E48</f>
        <v>46.957017092470331</v>
      </c>
    </row>
    <row r="12" spans="1:6" ht="15" customHeight="1" x14ac:dyDescent="0.25">
      <c r="A12" s="22" t="s">
        <v>65</v>
      </c>
      <c r="D12" s="13" t="s">
        <v>66</v>
      </c>
      <c r="E12" s="16">
        <f>MATCH(B3,$A$8:$A$10,0)</f>
        <v>1</v>
      </c>
    </row>
    <row r="13" spans="1:6" ht="15" customHeight="1" x14ac:dyDescent="0.25">
      <c r="A13" s="13" t="s">
        <v>60</v>
      </c>
      <c r="B13" s="23">
        <f>INDEX($B$8:$B$10,$E$12)</f>
        <v>0.12</v>
      </c>
    </row>
    <row r="14" spans="1:6" ht="15" customHeight="1" x14ac:dyDescent="0.25">
      <c r="A14" s="13" t="s">
        <v>67</v>
      </c>
      <c r="B14" s="24">
        <f>INDEX($C$8:$C$10,$E$12)</f>
        <v>-1373.6617680670329</v>
      </c>
    </row>
    <row r="15" spans="1:6" ht="15" customHeight="1" x14ac:dyDescent="0.25">
      <c r="A15" s="13" t="s">
        <v>68</v>
      </c>
      <c r="B15" s="25">
        <f>INDEX($D$8:$D$10,$E$12)</f>
        <v>1.6433496402877699</v>
      </c>
    </row>
    <row r="16" spans="1:6" ht="15" customHeight="1" x14ac:dyDescent="0.25">
      <c r="A16" s="13" t="s">
        <v>69</v>
      </c>
      <c r="B16" s="24">
        <f>INDEX($E$8:$E$10,$E$12)</f>
        <v>17737.719102086972</v>
      </c>
    </row>
    <row r="17" spans="1:2" ht="15" customHeight="1" x14ac:dyDescent="0.25">
      <c r="A17" s="13" t="s">
        <v>64</v>
      </c>
      <c r="B17" s="25">
        <f>INDEX($F$8:$F$10,$E$12)</f>
        <v>15.951186242883967</v>
      </c>
    </row>
  </sheetData>
  <dataValidations count="1">
    <dataValidation type="list" allowBlank="1" showInputMessage="1" showErrorMessage="1" sqref="B3" xr:uid="{00000000-0002-0000-0200-000000000000}">
      <formula1>"Netflix,Warner Bros.,Combined"</formula1>
      <formula2>0</formula2>
    </dataValidation>
  </dataValidations>
  <pageMargins left="0.7" right="0.7" top="0.75" bottom="0.75" header="0.511811023622047" footer="0.511811023622047"/>
  <pageSetup paperSize="9" scale="89" fitToHeight="0" orientation="landscape" horizontalDpi="300" verticalDpi="300" r:id="rId1"/>
  <headerFooter scaleWithDoc="0">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6"/>
  <sheetViews>
    <sheetView showGridLines="0" zoomScaleNormal="100" workbookViewId="0">
      <pane ySplit="1" topLeftCell="A2" activePane="bottomLeft" state="frozen"/>
      <selection pane="bottomLeft" activeCell="B3" activeCellId="1" sqref="B8:D8 B3:D3"/>
    </sheetView>
  </sheetViews>
  <sheetFormatPr defaultColWidth="8.7109375" defaultRowHeight="15" customHeight="1" x14ac:dyDescent="0.25"/>
  <cols>
    <col min="1" max="1" width="54.140625" customWidth="1"/>
    <col min="2" max="2" width="24.85546875" customWidth="1"/>
    <col min="3" max="3" width="26.28515625" customWidth="1"/>
    <col min="4" max="4" width="16.7109375" customWidth="1"/>
    <col min="6" max="6" width="31.5703125" customWidth="1"/>
    <col min="7" max="8" width="20.7109375" customWidth="1"/>
    <col min="10" max="13" width="36.7109375" customWidth="1"/>
  </cols>
  <sheetData>
    <row r="1" spans="1:7" ht="18.75" customHeight="1" x14ac:dyDescent="0.3">
      <c r="A1" s="11" t="s">
        <v>0</v>
      </c>
    </row>
    <row r="3" spans="1:7" ht="15" customHeight="1" x14ac:dyDescent="0.25">
      <c r="B3" s="12" t="s">
        <v>1</v>
      </c>
      <c r="C3" s="12" t="s">
        <v>2</v>
      </c>
      <c r="D3" s="12" t="s">
        <v>3</v>
      </c>
      <c r="F3" s="12" t="s">
        <v>4</v>
      </c>
    </row>
    <row r="4" spans="1:7" ht="15" customHeight="1" x14ac:dyDescent="0.25">
      <c r="F4" s="13" t="s">
        <v>5</v>
      </c>
      <c r="G4" s="14">
        <v>4.2999999999999997E-2</v>
      </c>
    </row>
    <row r="5" spans="1:7" ht="15" customHeight="1" x14ac:dyDescent="0.25">
      <c r="A5" s="13" t="s">
        <v>6</v>
      </c>
      <c r="B5" s="15">
        <v>28900</v>
      </c>
      <c r="C5" s="15">
        <v>39320</v>
      </c>
      <c r="D5" s="16">
        <f>B5+C5</f>
        <v>68220</v>
      </c>
      <c r="F5" s="13" t="s">
        <v>7</v>
      </c>
      <c r="G5" s="14">
        <v>5.5E-2</v>
      </c>
    </row>
    <row r="6" spans="1:7" ht="15" customHeight="1" x14ac:dyDescent="0.25">
      <c r="A6" s="13" t="s">
        <v>8</v>
      </c>
      <c r="B6" s="15">
        <v>0.08</v>
      </c>
      <c r="C6" s="15">
        <v>0.13</v>
      </c>
      <c r="D6" s="16">
        <f>(B6*B5+C6*C5)/(B5+C5)</f>
        <v>0.10881852829082381</v>
      </c>
      <c r="F6" s="13" t="s">
        <v>9</v>
      </c>
      <c r="G6" s="15">
        <v>1.4</v>
      </c>
    </row>
    <row r="7" spans="1:7" ht="15" customHeight="1" x14ac:dyDescent="0.25">
      <c r="A7" s="13" t="s">
        <v>10</v>
      </c>
      <c r="B7" s="15">
        <v>0.24</v>
      </c>
      <c r="C7" s="15">
        <v>0.24</v>
      </c>
      <c r="D7" s="16">
        <f>(B7+C7)/2</f>
        <v>0.24</v>
      </c>
      <c r="F7" s="13" t="s">
        <v>11</v>
      </c>
      <c r="G7" s="15">
        <v>1.5</v>
      </c>
    </row>
    <row r="8" spans="1:7" ht="15" customHeight="1" x14ac:dyDescent="0.25">
      <c r="A8" s="13" t="s">
        <v>12</v>
      </c>
      <c r="B8" s="15">
        <v>0.12</v>
      </c>
      <c r="C8" s="15">
        <v>0.16</v>
      </c>
      <c r="D8" s="16">
        <f>(B8+C8)/2</f>
        <v>0.14000000000000001</v>
      </c>
      <c r="F8" s="13" t="s">
        <v>13</v>
      </c>
      <c r="G8" s="15">
        <v>1.35</v>
      </c>
    </row>
    <row r="9" spans="1:7" ht="15" customHeight="1" x14ac:dyDescent="0.25">
      <c r="A9" s="13" t="s">
        <v>14</v>
      </c>
      <c r="B9" s="15">
        <v>0.08</v>
      </c>
      <c r="C9" s="15">
        <v>0.08</v>
      </c>
      <c r="D9" s="16">
        <f>(B9+C9)/2</f>
        <v>0.08</v>
      </c>
    </row>
    <row r="10" spans="1:7" ht="15" customHeight="1" x14ac:dyDescent="0.25">
      <c r="A10" s="13" t="s">
        <v>15</v>
      </c>
      <c r="B10" s="15">
        <v>1.4999999999999999E-2</v>
      </c>
      <c r="C10" s="15">
        <v>0.02</v>
      </c>
      <c r="D10" s="16">
        <f>(B10+C10)/2</f>
        <v>1.7500000000000002E-2</v>
      </c>
    </row>
    <row r="11" spans="1:7" ht="15" customHeight="1" x14ac:dyDescent="0.25">
      <c r="A11" s="13" t="s">
        <v>16</v>
      </c>
      <c r="B11" s="15">
        <v>1112</v>
      </c>
      <c r="C11" s="15">
        <v>2613</v>
      </c>
      <c r="D11" s="16">
        <f>Deal_Model!B16</f>
        <v>1112</v>
      </c>
    </row>
    <row r="12" spans="1:7" ht="15" customHeight="1" x14ac:dyDescent="0.25">
      <c r="A12" s="13" t="s">
        <v>17</v>
      </c>
      <c r="B12" s="17">
        <v>8.8800000000000008</v>
      </c>
      <c r="C12" s="17">
        <v>12.54</v>
      </c>
      <c r="D12" s="18">
        <f>B12</f>
        <v>8.8800000000000008</v>
      </c>
    </row>
    <row r="13" spans="1:7" ht="15" customHeight="1" x14ac:dyDescent="0.25">
      <c r="A13" s="13" t="s">
        <v>18</v>
      </c>
      <c r="B13" s="17">
        <v>11000</v>
      </c>
      <c r="C13" s="17">
        <v>34600</v>
      </c>
      <c r="D13" s="18">
        <f>B13+C13</f>
        <v>45600</v>
      </c>
    </row>
    <row r="14" spans="1:7" ht="15" customHeight="1" x14ac:dyDescent="0.25">
      <c r="A14" s="13" t="s">
        <v>19</v>
      </c>
      <c r="B14" s="14">
        <v>0.65</v>
      </c>
      <c r="C14" s="14">
        <v>0.8</v>
      </c>
      <c r="D14" s="19">
        <f t="shared" ref="D14:D20" si="0">(B14+C14)/2</f>
        <v>0.72500000000000009</v>
      </c>
    </row>
    <row r="15" spans="1:7" ht="15" customHeight="1" x14ac:dyDescent="0.25">
      <c r="A15" s="13" t="s">
        <v>20</v>
      </c>
      <c r="B15" s="14">
        <v>0.04</v>
      </c>
      <c r="C15" s="14">
        <v>0.02</v>
      </c>
      <c r="D15" s="19">
        <f t="shared" si="0"/>
        <v>0.03</v>
      </c>
    </row>
    <row r="16" spans="1:7" ht="15" customHeight="1" x14ac:dyDescent="0.25">
      <c r="A16" s="13" t="s">
        <v>21</v>
      </c>
      <c r="B16" s="14">
        <v>0.05</v>
      </c>
      <c r="C16" s="14">
        <v>0.03</v>
      </c>
      <c r="D16" s="19">
        <f t="shared" si="0"/>
        <v>0.04</v>
      </c>
    </row>
    <row r="17" spans="1:4" ht="15" customHeight="1" x14ac:dyDescent="0.25">
      <c r="A17" s="13" t="s">
        <v>22</v>
      </c>
      <c r="B17" s="14">
        <v>0.05</v>
      </c>
      <c r="C17" s="14">
        <v>0.04</v>
      </c>
      <c r="D17" s="19">
        <f t="shared" si="0"/>
        <v>4.4999999999999998E-2</v>
      </c>
    </row>
    <row r="18" spans="1:4" ht="15" customHeight="1" x14ac:dyDescent="0.25">
      <c r="A18" s="13" t="s">
        <v>23</v>
      </c>
      <c r="B18" s="14">
        <v>0.04</v>
      </c>
      <c r="C18" s="14">
        <v>0.04</v>
      </c>
      <c r="D18" s="19">
        <f t="shared" si="0"/>
        <v>0.04</v>
      </c>
    </row>
    <row r="19" spans="1:4" ht="15" customHeight="1" x14ac:dyDescent="0.25">
      <c r="A19" s="13" t="s">
        <v>24</v>
      </c>
      <c r="B19" s="14">
        <v>0.03</v>
      </c>
      <c r="C19" s="14">
        <v>0.03</v>
      </c>
      <c r="D19" s="19">
        <f t="shared" si="0"/>
        <v>0.03</v>
      </c>
    </row>
    <row r="20" spans="1:4" ht="15" customHeight="1" x14ac:dyDescent="0.25">
      <c r="A20" s="13" t="s">
        <v>25</v>
      </c>
      <c r="B20" s="14">
        <v>2.5000000000000001E-2</v>
      </c>
      <c r="C20" s="14">
        <v>0.02</v>
      </c>
      <c r="D20" s="19">
        <f t="shared" si="0"/>
        <v>2.2499999999999999E-2</v>
      </c>
    </row>
    <row r="23" spans="1:4" ht="15" customHeight="1" x14ac:dyDescent="0.25">
      <c r="A23" s="12" t="s">
        <v>26</v>
      </c>
    </row>
    <row r="24" spans="1:4" ht="15" customHeight="1" x14ac:dyDescent="0.25">
      <c r="A24" s="13" t="s">
        <v>27</v>
      </c>
      <c r="B24" s="15">
        <v>1.472</v>
      </c>
    </row>
    <row r="25" spans="1:4" ht="15" customHeight="1" x14ac:dyDescent="0.25">
      <c r="A25" s="13" t="s">
        <v>28</v>
      </c>
      <c r="B25" s="20">
        <v>0</v>
      </c>
    </row>
    <row r="26" spans="1:4" ht="15" customHeight="1" x14ac:dyDescent="0.25">
      <c r="A26" s="13" t="s">
        <v>29</v>
      </c>
      <c r="B26" s="15">
        <v>4000</v>
      </c>
    </row>
    <row r="27" spans="1:4" ht="15" customHeight="1" x14ac:dyDescent="0.25">
      <c r="A27" s="13" t="s">
        <v>30</v>
      </c>
      <c r="B27" s="15">
        <v>2000</v>
      </c>
    </row>
    <row r="28" spans="1:4" ht="15" customHeight="1" x14ac:dyDescent="0.25">
      <c r="A28" s="13" t="s">
        <v>31</v>
      </c>
      <c r="B28" s="15">
        <v>0.25</v>
      </c>
    </row>
    <row r="29" spans="1:4" ht="15" customHeight="1" x14ac:dyDescent="0.25">
      <c r="A29" s="13" t="s">
        <v>32</v>
      </c>
    </row>
    <row r="30" spans="1:4" ht="15" customHeight="1" x14ac:dyDescent="0.25">
      <c r="A30" s="13" t="s">
        <v>33</v>
      </c>
      <c r="B30" s="20">
        <v>0.1</v>
      </c>
    </row>
    <row r="31" spans="1:4" ht="15" customHeight="1" x14ac:dyDescent="0.25">
      <c r="A31" s="13" t="s">
        <v>34</v>
      </c>
      <c r="B31" s="20">
        <v>0.15</v>
      </c>
    </row>
    <row r="32" spans="1:4" ht="15" customHeight="1" x14ac:dyDescent="0.25">
      <c r="A32" s="13" t="s">
        <v>35</v>
      </c>
      <c r="B32" s="20">
        <v>0.2</v>
      </c>
    </row>
    <row r="33" spans="1:2" ht="15" customHeight="1" x14ac:dyDescent="0.25">
      <c r="A33" s="13" t="s">
        <v>36</v>
      </c>
      <c r="B33" s="20">
        <v>0.25</v>
      </c>
    </row>
    <row r="34" spans="1:2" ht="15" customHeight="1" x14ac:dyDescent="0.25">
      <c r="A34" s="13" t="s">
        <v>37</v>
      </c>
      <c r="B34" s="20">
        <v>0.25</v>
      </c>
    </row>
    <row r="37" spans="1:2" ht="15" customHeight="1" x14ac:dyDescent="0.25">
      <c r="A37" s="21" t="s">
        <v>38</v>
      </c>
    </row>
    <row r="38" spans="1:2" ht="15" customHeight="1" x14ac:dyDescent="0.25">
      <c r="A38" t="s">
        <v>39</v>
      </c>
      <c r="B38" t="s">
        <v>40</v>
      </c>
    </row>
    <row r="39" spans="1:2" ht="15" customHeight="1" x14ac:dyDescent="0.25">
      <c r="A39" t="s">
        <v>41</v>
      </c>
      <c r="B39" t="s">
        <v>42</v>
      </c>
    </row>
    <row r="40" spans="1:2" ht="15" customHeight="1" x14ac:dyDescent="0.25">
      <c r="A40" t="s">
        <v>43</v>
      </c>
      <c r="B40" t="s">
        <v>44</v>
      </c>
    </row>
    <row r="41" spans="1:2" ht="15" customHeight="1" x14ac:dyDescent="0.25">
      <c r="A41" t="s">
        <v>45</v>
      </c>
      <c r="B41" t="s">
        <v>46</v>
      </c>
    </row>
    <row r="42" spans="1:2" ht="15" customHeight="1" x14ac:dyDescent="0.25">
      <c r="A42" t="s">
        <v>47</v>
      </c>
      <c r="B42" t="s">
        <v>48</v>
      </c>
    </row>
    <row r="43" spans="1:2" ht="15" customHeight="1" x14ac:dyDescent="0.25">
      <c r="A43" t="s">
        <v>49</v>
      </c>
      <c r="B43" t="s">
        <v>50</v>
      </c>
    </row>
    <row r="44" spans="1:2" ht="15" customHeight="1" x14ac:dyDescent="0.25">
      <c r="A44" t="s">
        <v>51</v>
      </c>
      <c r="B44" t="s">
        <v>52</v>
      </c>
    </row>
    <row r="45" spans="1:2" ht="15" customHeight="1" x14ac:dyDescent="0.25">
      <c r="A45" t="s">
        <v>5</v>
      </c>
      <c r="B45" t="s">
        <v>53</v>
      </c>
    </row>
    <row r="46" spans="1:2" ht="15" customHeight="1" x14ac:dyDescent="0.25">
      <c r="A46" t="s">
        <v>54</v>
      </c>
      <c r="B46" t="s">
        <v>55</v>
      </c>
    </row>
  </sheetData>
  <pageMargins left="0.7" right="0.7" top="0.75" bottom="0.75" header="0.511811023622047" footer="0.511811023622047"/>
  <pageSetup paperSize="9" scale="71" fitToHeight="0" orientation="landscape" horizontalDpi="300" verticalDpi="300" r:id="rId1"/>
  <headerFooter scaleWithDoc="0">
    <oddHeader>&amp;A</oddHeader>
    <oddFooter>Page &amp;P of &amp;N</oddFooter>
  </headerFooter>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8"/>
  <sheetViews>
    <sheetView showGridLines="0" zoomScaleNormal="100" workbookViewId="0">
      <pane ySplit="1" topLeftCell="A2" activePane="bottomLeft" state="frozen"/>
      <selection pane="bottomLeft" activeCell="A42" sqref="A42"/>
    </sheetView>
  </sheetViews>
  <sheetFormatPr defaultColWidth="8.7109375" defaultRowHeight="15" customHeight="1" x14ac:dyDescent="0.25"/>
  <cols>
    <col min="1" max="1" width="32.7109375" customWidth="1"/>
    <col min="2" max="2" width="26.7109375" customWidth="1"/>
    <col min="3" max="3" width="16.7109375" customWidth="1"/>
    <col min="4" max="4" width="39.5703125" customWidth="1"/>
    <col min="5" max="5" width="16.7109375" customWidth="1"/>
    <col min="6" max="6" width="18.42578125" customWidth="1"/>
    <col min="7" max="8" width="16.7109375" customWidth="1"/>
    <col min="9" max="9" width="9.140625" customWidth="1"/>
    <col min="10" max="13" width="36.7109375" customWidth="1"/>
  </cols>
  <sheetData>
    <row r="1" spans="1:5" ht="18.75" customHeight="1" x14ac:dyDescent="0.3">
      <c r="A1" s="11" t="s">
        <v>109</v>
      </c>
    </row>
    <row r="3" spans="1:5" ht="15" customHeight="1" x14ac:dyDescent="0.25">
      <c r="A3" s="22" t="s">
        <v>71</v>
      </c>
    </row>
    <row r="4" spans="1:5" ht="15" customHeight="1" x14ac:dyDescent="0.25">
      <c r="A4" s="13" t="s">
        <v>59</v>
      </c>
      <c r="B4" s="13" t="s">
        <v>2</v>
      </c>
      <c r="D4" s="22" t="s">
        <v>72</v>
      </c>
    </row>
    <row r="5" spans="1:5" ht="15" customHeight="1" x14ac:dyDescent="0.25">
      <c r="A5" s="13" t="s">
        <v>6</v>
      </c>
      <c r="B5" s="16">
        <f>Inputs!C5</f>
        <v>39320</v>
      </c>
      <c r="D5" s="13" t="s">
        <v>33</v>
      </c>
      <c r="E5" s="26">
        <f>Inputs!C15</f>
        <v>0.02</v>
      </c>
    </row>
    <row r="6" spans="1:5" ht="15" customHeight="1" x14ac:dyDescent="0.25">
      <c r="A6" s="13" t="s">
        <v>8</v>
      </c>
      <c r="B6" s="19">
        <f>Inputs!C6</f>
        <v>0.13</v>
      </c>
      <c r="D6" s="13" t="s">
        <v>34</v>
      </c>
      <c r="E6" s="26">
        <f>Inputs!C16</f>
        <v>0.03</v>
      </c>
    </row>
    <row r="7" spans="1:5" ht="15" customHeight="1" x14ac:dyDescent="0.25">
      <c r="A7" s="13" t="s">
        <v>10</v>
      </c>
      <c r="B7" s="19">
        <f>Inputs!C7</f>
        <v>0.24</v>
      </c>
      <c r="D7" s="13" t="s">
        <v>35</v>
      </c>
      <c r="E7" s="26">
        <f>Inputs!C17</f>
        <v>0.04</v>
      </c>
    </row>
    <row r="8" spans="1:5" ht="15" customHeight="1" x14ac:dyDescent="0.25">
      <c r="A8" s="13" t="s">
        <v>73</v>
      </c>
      <c r="B8" s="19">
        <f>Inputs!C8</f>
        <v>0.16</v>
      </c>
      <c r="D8" s="13" t="s">
        <v>36</v>
      </c>
      <c r="E8" s="26">
        <f>Inputs!C18</f>
        <v>0.04</v>
      </c>
    </row>
    <row r="9" spans="1:5" ht="15" customHeight="1" x14ac:dyDescent="0.25">
      <c r="A9" s="13" t="s">
        <v>74</v>
      </c>
      <c r="B9" s="19">
        <f>Inputs!C9</f>
        <v>0.08</v>
      </c>
      <c r="D9" s="13" t="s">
        <v>37</v>
      </c>
      <c r="E9" s="26">
        <f>Inputs!C19</f>
        <v>0.03</v>
      </c>
    </row>
    <row r="10" spans="1:5" ht="15" customHeight="1" x14ac:dyDescent="0.25">
      <c r="A10" s="13" t="s">
        <v>75</v>
      </c>
      <c r="B10" s="19">
        <f>Inputs!C10</f>
        <v>0.02</v>
      </c>
      <c r="D10" s="13" t="s">
        <v>76</v>
      </c>
      <c r="E10" s="26">
        <f>Inputs!C20</f>
        <v>0.02</v>
      </c>
    </row>
    <row r="11" spans="1:5" ht="15" customHeight="1" x14ac:dyDescent="0.25">
      <c r="A11" s="13" t="s">
        <v>16</v>
      </c>
      <c r="B11" s="16">
        <f>Inputs!C11</f>
        <v>2613</v>
      </c>
    </row>
    <row r="12" spans="1:5" ht="15" customHeight="1" x14ac:dyDescent="0.25">
      <c r="A12" s="13" t="s">
        <v>18</v>
      </c>
      <c r="B12" s="18">
        <f>Inputs!C13</f>
        <v>34600</v>
      </c>
    </row>
    <row r="13" spans="1:5" ht="15" customHeight="1" x14ac:dyDescent="0.25">
      <c r="A13" s="13" t="s">
        <v>77</v>
      </c>
      <c r="B13" s="19">
        <f>Inputs!C14</f>
        <v>0.8</v>
      </c>
    </row>
    <row r="16" spans="1:5" ht="15" customHeight="1" x14ac:dyDescent="0.25">
      <c r="A16" s="22" t="s">
        <v>78</v>
      </c>
    </row>
    <row r="17" spans="1:11" ht="15" customHeight="1" x14ac:dyDescent="0.25">
      <c r="A17" s="13" t="s">
        <v>5</v>
      </c>
      <c r="B17" s="26">
        <f>Inputs!G4</f>
        <v>4.2999999999999997E-2</v>
      </c>
    </row>
    <row r="18" spans="1:11" ht="15" customHeight="1" x14ac:dyDescent="0.25">
      <c r="A18" s="13" t="s">
        <v>7</v>
      </c>
      <c r="B18" s="26">
        <f>Inputs!G5</f>
        <v>5.5E-2</v>
      </c>
    </row>
    <row r="19" spans="1:11" ht="15" customHeight="1" x14ac:dyDescent="0.25">
      <c r="A19" s="13" t="s">
        <v>79</v>
      </c>
      <c r="B19" s="15">
        <f>Inputs!G7</f>
        <v>1.5</v>
      </c>
    </row>
    <row r="20" spans="1:11" ht="15" customHeight="1" x14ac:dyDescent="0.25">
      <c r="A20" s="13" t="s">
        <v>60</v>
      </c>
      <c r="B20" s="23">
        <f>B17+B19*B18</f>
        <v>0.1255</v>
      </c>
    </row>
    <row r="23" spans="1:11" ht="15" customHeight="1" x14ac:dyDescent="0.25">
      <c r="A23" s="22" t="s">
        <v>80</v>
      </c>
    </row>
    <row r="24" spans="1:11" ht="15" customHeight="1" x14ac:dyDescent="0.25">
      <c r="A24" s="12"/>
      <c r="B24" s="12" t="s">
        <v>81</v>
      </c>
      <c r="C24" s="12" t="s">
        <v>82</v>
      </c>
      <c r="D24" s="12" t="s">
        <v>83</v>
      </c>
      <c r="E24" s="12" t="s">
        <v>84</v>
      </c>
      <c r="F24" s="12" t="s">
        <v>85</v>
      </c>
      <c r="G24" s="12" t="s">
        <v>86</v>
      </c>
      <c r="H24" s="12" t="s">
        <v>87</v>
      </c>
      <c r="I24" s="12" t="s">
        <v>88</v>
      </c>
      <c r="J24" s="12" t="s">
        <v>89</v>
      </c>
      <c r="K24" s="12" t="s">
        <v>90</v>
      </c>
    </row>
    <row r="25" spans="1:11" ht="15" customHeight="1" x14ac:dyDescent="0.25">
      <c r="A25" s="13" t="s">
        <v>33</v>
      </c>
      <c r="B25" s="18">
        <f>B5*(1+E5)</f>
        <v>40106.400000000001</v>
      </c>
      <c r="C25" s="18">
        <f>B25*$B$6</f>
        <v>5213.8320000000003</v>
      </c>
      <c r="D25" s="18">
        <f>C25*$B$7</f>
        <v>1251.3196800000001</v>
      </c>
      <c r="E25" s="18">
        <f>C25-D25</f>
        <v>3962.5123200000003</v>
      </c>
      <c r="F25" s="18">
        <f>B25*$B$8</f>
        <v>6417.0240000000003</v>
      </c>
      <c r="G25" s="18">
        <f>B25*$B$9</f>
        <v>3208.5120000000002</v>
      </c>
      <c r="H25" s="18">
        <f>B25*$B$10</f>
        <v>802.12800000000004</v>
      </c>
      <c r="I25" s="18">
        <f>E25+F25-G25-H25</f>
        <v>6368.8963200000007</v>
      </c>
      <c r="J25" s="16">
        <f>1/(1+$B$20)^1</f>
        <v>0.88849400266548206</v>
      </c>
      <c r="K25" s="16">
        <f>I25*J25</f>
        <v>5658.7261839182593</v>
      </c>
    </row>
    <row r="26" spans="1:11" ht="15" customHeight="1" x14ac:dyDescent="0.25">
      <c r="A26" s="13" t="s">
        <v>34</v>
      </c>
      <c r="B26" s="18">
        <f>B25*(1+E6)</f>
        <v>41309.592000000004</v>
      </c>
      <c r="C26" s="18">
        <f>B26*$B$6</f>
        <v>5370.2469600000004</v>
      </c>
      <c r="D26" s="18">
        <f>C26*$B$7</f>
        <v>1288.8592704</v>
      </c>
      <c r="E26" s="18">
        <f>C26-D26</f>
        <v>4081.3876896000002</v>
      </c>
      <c r="F26" s="18">
        <f>B26*$B$8</f>
        <v>6609.5347200000006</v>
      </c>
      <c r="G26" s="18">
        <f>B26*$B$9</f>
        <v>3304.7673600000003</v>
      </c>
      <c r="H26" s="18">
        <f>B26*$B$10</f>
        <v>826.19184000000007</v>
      </c>
      <c r="I26" s="18">
        <f>E26+F26-G26-H26</f>
        <v>6559.9632095999996</v>
      </c>
      <c r="J26" s="16">
        <f>1/(1+$B$20)^2</f>
        <v>0.78942159277252966</v>
      </c>
      <c r="K26" s="16">
        <f>I26*J26</f>
        <v>5178.5766054516271</v>
      </c>
    </row>
    <row r="27" spans="1:11" ht="15" customHeight="1" x14ac:dyDescent="0.25">
      <c r="A27" s="13" t="s">
        <v>35</v>
      </c>
      <c r="B27" s="18">
        <f>B26*(1+E7)</f>
        <v>42961.975680000003</v>
      </c>
      <c r="C27" s="18">
        <f>B27*$B$6</f>
        <v>5585.0568384000007</v>
      </c>
      <c r="D27" s="18">
        <f>C27*$B$7</f>
        <v>1340.4136412160001</v>
      </c>
      <c r="E27" s="18">
        <f>C27-D27</f>
        <v>4244.6431971840011</v>
      </c>
      <c r="F27" s="18">
        <f>B27*$B$8</f>
        <v>6873.916108800001</v>
      </c>
      <c r="G27" s="18">
        <f>B27*$B$9</f>
        <v>3436.9580544000005</v>
      </c>
      <c r="H27" s="18">
        <f>B27*$B$10</f>
        <v>859.23951360000012</v>
      </c>
      <c r="I27" s="18">
        <f>E27+F27-G27-H27</f>
        <v>6822.3617379840025</v>
      </c>
      <c r="J27" s="16">
        <f>1/(1+$B$20)^3</f>
        <v>0.70139635075302498</v>
      </c>
      <c r="K27" s="16">
        <f>I27*J27</f>
        <v>4785.1796265390449</v>
      </c>
    </row>
    <row r="28" spans="1:11" ht="15" customHeight="1" x14ac:dyDescent="0.25">
      <c r="A28" s="13" t="s">
        <v>36</v>
      </c>
      <c r="B28" s="18">
        <f>B27*(1+E8)</f>
        <v>44680.454707200006</v>
      </c>
      <c r="C28" s="18">
        <f>B28*$B$6</f>
        <v>5808.4591119360011</v>
      </c>
      <c r="D28" s="18">
        <f>C28*$B$7</f>
        <v>1394.0301868646402</v>
      </c>
      <c r="E28" s="18">
        <f>C28-D28</f>
        <v>4414.4289250713609</v>
      </c>
      <c r="F28" s="18">
        <f>B28*$B$8</f>
        <v>7148.8727531520008</v>
      </c>
      <c r="G28" s="18">
        <f>B28*$B$9</f>
        <v>3574.4363765760004</v>
      </c>
      <c r="H28" s="18">
        <f>B28*$B$10</f>
        <v>893.6090941440001</v>
      </c>
      <c r="I28" s="18">
        <f>E28+F28-G28-H28</f>
        <v>7095.2562075033602</v>
      </c>
      <c r="J28" s="16">
        <f>1/(1+$B$20)^4</f>
        <v>0.62318645113551763</v>
      </c>
      <c r="K28" s="16">
        <f>I28*J28</f>
        <v>4421.6675358512712</v>
      </c>
    </row>
    <row r="29" spans="1:11" ht="15" customHeight="1" x14ac:dyDescent="0.25">
      <c r="A29" s="13" t="s">
        <v>37</v>
      </c>
      <c r="B29" s="18">
        <f>B28*(1+E9)</f>
        <v>46020.868348416006</v>
      </c>
      <c r="C29" s="18">
        <f>B29*$B$6</f>
        <v>5982.7128852940814</v>
      </c>
      <c r="D29" s="18">
        <f>C29*$B$7</f>
        <v>1435.8510924705795</v>
      </c>
      <c r="E29" s="18">
        <f>C29-D29</f>
        <v>4546.8617928235017</v>
      </c>
      <c r="F29" s="18">
        <f>B29*$B$8</f>
        <v>7363.3389357465612</v>
      </c>
      <c r="G29" s="18">
        <f>B29*$B$9</f>
        <v>3681.6694678732806</v>
      </c>
      <c r="H29" s="18">
        <f>B29*$B$10</f>
        <v>920.41736696832015</v>
      </c>
      <c r="I29" s="18">
        <f>E29+F29-G29-H29</f>
        <v>7308.1138937284632</v>
      </c>
      <c r="J29" s="16">
        <f>1/(1+$B$20)^5</f>
        <v>0.55369742437629288</v>
      </c>
      <c r="K29" s="16">
        <f>I29*J29</f>
        <v>4046.4838400060512</v>
      </c>
    </row>
    <row r="30" spans="1:11" ht="15" customHeight="1" x14ac:dyDescent="0.25">
      <c r="A30" s="13" t="s">
        <v>91</v>
      </c>
      <c r="B30" s="18">
        <f>I29</f>
        <v>7308.1138937284632</v>
      </c>
      <c r="C30" s="18">
        <f>B30*(1+E10)/(B20-E10)</f>
        <v>70656.646176332069</v>
      </c>
      <c r="D30" s="13" t="s">
        <v>92</v>
      </c>
      <c r="E30" s="16">
        <f>J29</f>
        <v>0.55369742437629288</v>
      </c>
      <c r="F30" s="13" t="s">
        <v>93</v>
      </c>
      <c r="G30" s="18">
        <f>C30*E30</f>
        <v>39122.403002902109</v>
      </c>
    </row>
    <row r="33" spans="1:5" ht="15" customHeight="1" x14ac:dyDescent="0.25">
      <c r="A33" s="22" t="s">
        <v>94</v>
      </c>
      <c r="D33" s="22" t="s">
        <v>95</v>
      </c>
    </row>
    <row r="34" spans="1:5" ht="15" customHeight="1" x14ac:dyDescent="0.25">
      <c r="A34" s="13" t="s">
        <v>96</v>
      </c>
      <c r="B34" s="25">
        <f>SUM(K25:K29)</f>
        <v>24090.633791766249</v>
      </c>
      <c r="D34" s="13" t="s">
        <v>97</v>
      </c>
      <c r="E34" s="18">
        <f>B5*$B$13</f>
        <v>31456</v>
      </c>
    </row>
    <row r="35" spans="1:5" ht="15" customHeight="1" x14ac:dyDescent="0.25">
      <c r="A35" s="13" t="s">
        <v>93</v>
      </c>
      <c r="B35" s="25">
        <f>G30</f>
        <v>39122.403002902109</v>
      </c>
      <c r="D35" s="13" t="s">
        <v>98</v>
      </c>
      <c r="E35" s="27">
        <f>B20</f>
        <v>0.1255</v>
      </c>
    </row>
    <row r="36" spans="1:5" ht="15" customHeight="1" x14ac:dyDescent="0.25">
      <c r="A36" s="13" t="s">
        <v>99</v>
      </c>
      <c r="B36" s="25">
        <f>B34+B35</f>
        <v>63213.036794668355</v>
      </c>
      <c r="D36" s="13" t="s">
        <v>100</v>
      </c>
      <c r="E36" s="28">
        <f>E25</f>
        <v>3962.5123200000003</v>
      </c>
    </row>
    <row r="37" spans="1:5" ht="15" customHeight="1" x14ac:dyDescent="0.25">
      <c r="A37" s="13" t="s">
        <v>101</v>
      </c>
      <c r="B37" s="25">
        <f>B12</f>
        <v>34600</v>
      </c>
      <c r="D37" s="13" t="s">
        <v>102</v>
      </c>
      <c r="E37" s="25">
        <f>E36-E34*E35</f>
        <v>14.784320000000207</v>
      </c>
    </row>
    <row r="38" spans="1:5" ht="15" customHeight="1" x14ac:dyDescent="0.25">
      <c r="A38" s="13" t="s">
        <v>103</v>
      </c>
      <c r="B38" s="25">
        <f>B36-B37</f>
        <v>28613.036794668355</v>
      </c>
      <c r="D38" s="13" t="s">
        <v>104</v>
      </c>
      <c r="E38" s="25">
        <f>E37/(1+B20)*(1-(1/(1+B20)^5))/B20</f>
        <v>46.713404718541582</v>
      </c>
    </row>
    <row r="39" spans="1:5" ht="15" customHeight="1" x14ac:dyDescent="0.25">
      <c r="A39" s="13" t="s">
        <v>16</v>
      </c>
      <c r="B39" s="25">
        <f>B11</f>
        <v>2613</v>
      </c>
    </row>
    <row r="40" spans="1:5" ht="15" customHeight="1" x14ac:dyDescent="0.25">
      <c r="A40" s="13" t="s">
        <v>64</v>
      </c>
      <c r="B40" s="25">
        <f>B38/B39</f>
        <v>10.950262837607484</v>
      </c>
    </row>
    <row r="43" spans="1:5" ht="15" customHeight="1" x14ac:dyDescent="0.25">
      <c r="A43" s="22" t="s">
        <v>105</v>
      </c>
      <c r="D43" s="22" t="s">
        <v>106</v>
      </c>
    </row>
    <row r="44" spans="1:5" ht="15" customHeight="1" x14ac:dyDescent="0.25">
      <c r="A44" s="13" t="s">
        <v>107</v>
      </c>
      <c r="B44" s="18">
        <f>E25</f>
        <v>3962.5123200000003</v>
      </c>
      <c r="D44" s="13" t="s">
        <v>60</v>
      </c>
      <c r="E44" s="23">
        <f>B20</f>
        <v>0.1255</v>
      </c>
    </row>
    <row r="45" spans="1:5" ht="15" customHeight="1" x14ac:dyDescent="0.25">
      <c r="A45" s="13" t="s">
        <v>16</v>
      </c>
      <c r="B45" s="16">
        <f>B11</f>
        <v>2613</v>
      </c>
      <c r="D45" s="13" t="s">
        <v>108</v>
      </c>
      <c r="E45" s="25">
        <f>E38</f>
        <v>46.713404718541582</v>
      </c>
    </row>
    <row r="46" spans="1:5" ht="15" customHeight="1" x14ac:dyDescent="0.25">
      <c r="A46" s="13" t="s">
        <v>68</v>
      </c>
      <c r="B46" s="25">
        <f>B44/B45</f>
        <v>1.5164608955223882</v>
      </c>
      <c r="D46" s="13" t="s">
        <v>68</v>
      </c>
      <c r="E46" s="25">
        <f>B46</f>
        <v>1.5164608955223882</v>
      </c>
    </row>
    <row r="47" spans="1:5" ht="15" customHeight="1" x14ac:dyDescent="0.25">
      <c r="D47" s="13" t="s">
        <v>69</v>
      </c>
      <c r="E47" s="25">
        <f>B38</f>
        <v>28613.036794668355</v>
      </c>
    </row>
    <row r="48" spans="1:5" ht="15" customHeight="1" x14ac:dyDescent="0.25">
      <c r="D48" s="13" t="s">
        <v>64</v>
      </c>
      <c r="E48" s="25">
        <f>B40</f>
        <v>10.950262837607484</v>
      </c>
    </row>
  </sheetData>
  <pageMargins left="0.7" right="0.7" top="0.75" bottom="0.75" header="0.511811023622047" footer="0.511811023622047"/>
  <pageSetup paperSize="9" scale="49" fitToHeight="0" orientation="landscape" horizontalDpi="300" verticalDpi="300" r:id="rId1"/>
  <headerFooter scaleWithDoc="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8"/>
  <sheetViews>
    <sheetView showGridLines="0" zoomScaleNormal="100" workbookViewId="0">
      <pane ySplit="1" topLeftCell="A24" activePane="bottomLeft" state="frozen"/>
      <selection pane="bottomLeft" activeCell="C19" sqref="C19"/>
    </sheetView>
  </sheetViews>
  <sheetFormatPr defaultColWidth="8.7109375" defaultRowHeight="15" customHeight="1" x14ac:dyDescent="0.25"/>
  <cols>
    <col min="1" max="1" width="32.28515625" customWidth="1"/>
    <col min="2" max="2" width="23.7109375" customWidth="1"/>
    <col min="3" max="3" width="16.7109375" customWidth="1"/>
    <col min="4" max="4" width="39.140625" customWidth="1"/>
    <col min="5" max="5" width="16.7109375" customWidth="1"/>
    <col min="6" max="6" width="18.28515625" customWidth="1"/>
    <col min="7" max="8" width="16.7109375" customWidth="1"/>
    <col min="9" max="9" width="9.140625" customWidth="1"/>
    <col min="10" max="13" width="36.7109375" customWidth="1"/>
  </cols>
  <sheetData>
    <row r="1" spans="1:5" ht="18.75" customHeight="1" x14ac:dyDescent="0.3">
      <c r="A1" s="11" t="s">
        <v>70</v>
      </c>
    </row>
    <row r="3" spans="1:5" ht="15" customHeight="1" x14ac:dyDescent="0.25">
      <c r="A3" s="22" t="s">
        <v>71</v>
      </c>
    </row>
    <row r="4" spans="1:5" ht="15" customHeight="1" x14ac:dyDescent="0.25">
      <c r="A4" s="13" t="s">
        <v>59</v>
      </c>
      <c r="B4" s="13" t="s">
        <v>1</v>
      </c>
      <c r="D4" s="22" t="s">
        <v>72</v>
      </c>
    </row>
    <row r="5" spans="1:5" ht="15" customHeight="1" x14ac:dyDescent="0.25">
      <c r="A5" s="13" t="s">
        <v>6</v>
      </c>
      <c r="B5" s="16">
        <f>Inputs!B5</f>
        <v>28900</v>
      </c>
      <c r="D5" s="13" t="s">
        <v>33</v>
      </c>
      <c r="E5" s="26">
        <f>Inputs!B15</f>
        <v>0.04</v>
      </c>
    </row>
    <row r="6" spans="1:5" ht="15" customHeight="1" x14ac:dyDescent="0.25">
      <c r="A6" s="13" t="s">
        <v>8</v>
      </c>
      <c r="B6" s="19">
        <f>Inputs!B6</f>
        <v>0.08</v>
      </c>
      <c r="D6" s="13" t="s">
        <v>34</v>
      </c>
      <c r="E6" s="26">
        <f>Inputs!B16</f>
        <v>0.05</v>
      </c>
    </row>
    <row r="7" spans="1:5" ht="15" customHeight="1" x14ac:dyDescent="0.25">
      <c r="A7" s="13" t="s">
        <v>10</v>
      </c>
      <c r="B7" s="19">
        <f>Inputs!B7</f>
        <v>0.24</v>
      </c>
      <c r="D7" s="13" t="s">
        <v>35</v>
      </c>
      <c r="E7" s="26">
        <f>Inputs!B17</f>
        <v>0.05</v>
      </c>
    </row>
    <row r="8" spans="1:5" ht="15" customHeight="1" x14ac:dyDescent="0.25">
      <c r="A8" s="13" t="s">
        <v>73</v>
      </c>
      <c r="B8" s="19">
        <f>Inputs!B8</f>
        <v>0.12</v>
      </c>
      <c r="D8" s="13" t="s">
        <v>36</v>
      </c>
      <c r="E8" s="26">
        <f>Inputs!B18</f>
        <v>0.04</v>
      </c>
    </row>
    <row r="9" spans="1:5" ht="15" customHeight="1" x14ac:dyDescent="0.25">
      <c r="A9" s="13" t="s">
        <v>74</v>
      </c>
      <c r="B9" s="19">
        <f>Inputs!B9</f>
        <v>0.08</v>
      </c>
      <c r="D9" s="13" t="s">
        <v>37</v>
      </c>
      <c r="E9" s="26">
        <f>Inputs!B19</f>
        <v>0.03</v>
      </c>
    </row>
    <row r="10" spans="1:5" ht="15" customHeight="1" x14ac:dyDescent="0.25">
      <c r="A10" s="13" t="s">
        <v>75</v>
      </c>
      <c r="B10" s="19">
        <f>Inputs!B10</f>
        <v>1.4999999999999999E-2</v>
      </c>
      <c r="D10" s="13" t="s">
        <v>76</v>
      </c>
      <c r="E10" s="26">
        <f>Inputs!B20</f>
        <v>2.5000000000000001E-2</v>
      </c>
    </row>
    <row r="11" spans="1:5" ht="15" customHeight="1" x14ac:dyDescent="0.25">
      <c r="A11" s="13" t="s">
        <v>16</v>
      </c>
      <c r="B11" s="16">
        <f>Inputs!B11</f>
        <v>1112</v>
      </c>
    </row>
    <row r="12" spans="1:5" ht="15" customHeight="1" x14ac:dyDescent="0.25">
      <c r="A12" s="13" t="s">
        <v>18</v>
      </c>
      <c r="B12" s="18">
        <f>Inputs!B13</f>
        <v>11000</v>
      </c>
    </row>
    <row r="13" spans="1:5" ht="15" customHeight="1" x14ac:dyDescent="0.25">
      <c r="A13" s="13" t="s">
        <v>77</v>
      </c>
      <c r="B13" s="19">
        <f>Inputs!B14</f>
        <v>0.65</v>
      </c>
    </row>
    <row r="16" spans="1:5" ht="15" customHeight="1" x14ac:dyDescent="0.25">
      <c r="A16" s="22" t="s">
        <v>78</v>
      </c>
    </row>
    <row r="17" spans="1:11" ht="15" customHeight="1" x14ac:dyDescent="0.25">
      <c r="A17" s="13" t="s">
        <v>5</v>
      </c>
      <c r="B17" s="26">
        <f>Inputs!G4</f>
        <v>4.2999999999999997E-2</v>
      </c>
    </row>
    <row r="18" spans="1:11" ht="15" customHeight="1" x14ac:dyDescent="0.25">
      <c r="A18" s="13" t="s">
        <v>7</v>
      </c>
      <c r="B18" s="26">
        <f>Inputs!G5</f>
        <v>5.5E-2</v>
      </c>
    </row>
    <row r="19" spans="1:11" ht="15" customHeight="1" x14ac:dyDescent="0.25">
      <c r="A19" s="13" t="s">
        <v>79</v>
      </c>
      <c r="B19" s="15">
        <f>Inputs!G6</f>
        <v>1.4</v>
      </c>
    </row>
    <row r="20" spans="1:11" ht="15" customHeight="1" x14ac:dyDescent="0.25">
      <c r="A20" s="13" t="s">
        <v>60</v>
      </c>
      <c r="B20" s="23">
        <f>B17+B19*B18</f>
        <v>0.12</v>
      </c>
    </row>
    <row r="23" spans="1:11" ht="15" customHeight="1" x14ac:dyDescent="0.25">
      <c r="A23" s="22" t="s">
        <v>80</v>
      </c>
    </row>
    <row r="24" spans="1:11" ht="15" customHeight="1" x14ac:dyDescent="0.25">
      <c r="A24" s="12"/>
      <c r="B24" s="12" t="s">
        <v>81</v>
      </c>
      <c r="C24" s="12" t="s">
        <v>82</v>
      </c>
      <c r="D24" s="12" t="s">
        <v>83</v>
      </c>
      <c r="E24" s="12" t="s">
        <v>84</v>
      </c>
      <c r="F24" s="12" t="s">
        <v>85</v>
      </c>
      <c r="G24" s="12" t="s">
        <v>86</v>
      </c>
      <c r="H24" s="12" t="s">
        <v>87</v>
      </c>
      <c r="I24" s="12" t="s">
        <v>88</v>
      </c>
      <c r="J24" s="12" t="s">
        <v>89</v>
      </c>
      <c r="K24" s="12" t="s">
        <v>90</v>
      </c>
    </row>
    <row r="25" spans="1:11" ht="15" customHeight="1" x14ac:dyDescent="0.25">
      <c r="A25" s="13" t="s">
        <v>33</v>
      </c>
      <c r="B25" s="18">
        <f>B5*(1+E5)</f>
        <v>30056</v>
      </c>
      <c r="C25" s="18">
        <f>B25*$B$6</f>
        <v>2404.48</v>
      </c>
      <c r="D25" s="18">
        <f>C25*$B$7</f>
        <v>577.0752</v>
      </c>
      <c r="E25" s="18">
        <f>C25-D25</f>
        <v>1827.4048</v>
      </c>
      <c r="F25" s="18">
        <f>B25*$B$8</f>
        <v>3606.72</v>
      </c>
      <c r="G25" s="18">
        <f>B25*$B$9</f>
        <v>2404.48</v>
      </c>
      <c r="H25" s="18">
        <f>B25*$B$10</f>
        <v>450.84</v>
      </c>
      <c r="I25" s="18">
        <f>E25+F25-G25-H25</f>
        <v>2578.8047999999994</v>
      </c>
      <c r="J25" s="16">
        <f>1/(1+$B$20)^1</f>
        <v>0.89285714285714279</v>
      </c>
      <c r="K25" s="16">
        <f>I25*J25</f>
        <v>2302.5042857142848</v>
      </c>
    </row>
    <row r="26" spans="1:11" ht="15" customHeight="1" x14ac:dyDescent="0.25">
      <c r="A26" s="13" t="s">
        <v>34</v>
      </c>
      <c r="B26" s="18">
        <f>B25*(1+E6)</f>
        <v>31558.800000000003</v>
      </c>
      <c r="C26" s="18">
        <f>B26*$B$6</f>
        <v>2524.7040000000002</v>
      </c>
      <c r="D26" s="18">
        <f>C26*$B$7</f>
        <v>605.92896000000007</v>
      </c>
      <c r="E26" s="18">
        <f>C26-D26</f>
        <v>1918.77504</v>
      </c>
      <c r="F26" s="18">
        <f>B26*$B$8</f>
        <v>3787.056</v>
      </c>
      <c r="G26" s="18">
        <f>B26*$B$9</f>
        <v>2524.7040000000002</v>
      </c>
      <c r="H26" s="18">
        <f>B26*$B$10</f>
        <v>473.38200000000001</v>
      </c>
      <c r="I26" s="18">
        <f>E26+F26-G26-H26</f>
        <v>2707.7450399999998</v>
      </c>
      <c r="J26" s="16">
        <f>1/(1+$B$20)^2</f>
        <v>0.79719387755102034</v>
      </c>
      <c r="K26" s="16">
        <f>I26*J26</f>
        <v>2158.5977678571426</v>
      </c>
    </row>
    <row r="27" spans="1:11" ht="15" customHeight="1" x14ac:dyDescent="0.25">
      <c r="A27" s="13" t="s">
        <v>35</v>
      </c>
      <c r="B27" s="18">
        <f>B26*(1+E7)</f>
        <v>33136.740000000005</v>
      </c>
      <c r="C27" s="18">
        <f>B27*$B$6</f>
        <v>2650.9392000000003</v>
      </c>
      <c r="D27" s="18">
        <f>C27*$B$7</f>
        <v>636.22540800000002</v>
      </c>
      <c r="E27" s="18">
        <f>C27-D27</f>
        <v>2014.7137920000002</v>
      </c>
      <c r="F27" s="18">
        <f>B27*$B$8</f>
        <v>3976.4088000000006</v>
      </c>
      <c r="G27" s="18">
        <f>B27*$B$9</f>
        <v>2650.9392000000003</v>
      </c>
      <c r="H27" s="18">
        <f>B27*$B$10</f>
        <v>497.05110000000008</v>
      </c>
      <c r="I27" s="18">
        <f>E27+F27-G27-H27</f>
        <v>2843.1322920000002</v>
      </c>
      <c r="J27" s="16">
        <f>1/(1+$B$20)^3</f>
        <v>0.71178024781341087</v>
      </c>
      <c r="K27" s="16">
        <f>I27*J27</f>
        <v>2023.6854073660711</v>
      </c>
    </row>
    <row r="28" spans="1:11" ht="15" customHeight="1" x14ac:dyDescent="0.25">
      <c r="A28" s="13" t="s">
        <v>36</v>
      </c>
      <c r="B28" s="18">
        <f>B27*(1+E8)</f>
        <v>34462.209600000009</v>
      </c>
      <c r="C28" s="18">
        <f>B28*$B$6</f>
        <v>2756.9767680000009</v>
      </c>
      <c r="D28" s="18">
        <f>C28*$B$7</f>
        <v>661.67442432000018</v>
      </c>
      <c r="E28" s="18">
        <f>C28-D28</f>
        <v>2095.3023436800008</v>
      </c>
      <c r="F28" s="18">
        <f>B28*$B$8</f>
        <v>4135.4651520000007</v>
      </c>
      <c r="G28" s="18">
        <f>B28*$B$9</f>
        <v>2756.9767680000009</v>
      </c>
      <c r="H28" s="18">
        <f>B28*$B$10</f>
        <v>516.93314400000008</v>
      </c>
      <c r="I28" s="18">
        <f>E28+F28-G28-H28</f>
        <v>2956.857583680001</v>
      </c>
      <c r="J28" s="16">
        <f>1/(1+$B$20)^4</f>
        <v>0.63551807840483121</v>
      </c>
      <c r="K28" s="16">
        <f>I28*J28</f>
        <v>1879.1364496970666</v>
      </c>
    </row>
    <row r="29" spans="1:11" ht="15" customHeight="1" x14ac:dyDescent="0.25">
      <c r="A29" s="13" t="s">
        <v>37</v>
      </c>
      <c r="B29" s="18">
        <f>B28*(1+E9)</f>
        <v>35496.075888000014</v>
      </c>
      <c r="C29" s="18">
        <f>B29*$B$6</f>
        <v>2839.686071040001</v>
      </c>
      <c r="D29" s="18">
        <f>C29*$B$7</f>
        <v>681.52465704960025</v>
      </c>
      <c r="E29" s="18">
        <f>C29-D29</f>
        <v>2158.1614139904009</v>
      </c>
      <c r="F29" s="18">
        <f>B29*$B$8</f>
        <v>4259.5291065600013</v>
      </c>
      <c r="G29" s="18">
        <f>B29*$B$9</f>
        <v>2839.686071040001</v>
      </c>
      <c r="H29" s="18">
        <f>B29*$B$10</f>
        <v>532.44113832000016</v>
      </c>
      <c r="I29" s="18">
        <f>E29+F29-G29-H29</f>
        <v>3045.5633111904017</v>
      </c>
      <c r="J29" s="16">
        <f>1/(1+$B$20)^5</f>
        <v>0.56742685571859919</v>
      </c>
      <c r="K29" s="16">
        <f>I29*J29</f>
        <v>1728.1344135606953</v>
      </c>
    </row>
    <row r="30" spans="1:11" ht="15" customHeight="1" x14ac:dyDescent="0.25">
      <c r="A30" s="13" t="s">
        <v>91</v>
      </c>
      <c r="B30" s="18">
        <f>I29</f>
        <v>3045.5633111904017</v>
      </c>
      <c r="C30" s="18">
        <f>B30*(1+E10)/(B20-E10)</f>
        <v>32860.025199685915</v>
      </c>
      <c r="D30" s="13" t="s">
        <v>92</v>
      </c>
      <c r="E30" s="16">
        <f>J29</f>
        <v>0.56742685571859919</v>
      </c>
      <c r="F30" s="13" t="s">
        <v>93</v>
      </c>
      <c r="G30" s="18">
        <f>C30*E30</f>
        <v>18645.660777891713</v>
      </c>
    </row>
    <row r="33" spans="1:5" ht="15" customHeight="1" x14ac:dyDescent="0.25">
      <c r="A33" s="22" t="s">
        <v>94</v>
      </c>
      <c r="D33" s="22" t="s">
        <v>95</v>
      </c>
    </row>
    <row r="34" spans="1:5" ht="15" customHeight="1" x14ac:dyDescent="0.25">
      <c r="A34" s="13" t="s">
        <v>96</v>
      </c>
      <c r="B34" s="25">
        <f>SUM(K25:K29)</f>
        <v>10092.058324195261</v>
      </c>
      <c r="D34" s="13" t="s">
        <v>97</v>
      </c>
      <c r="E34" s="18">
        <f>B5*$B$13</f>
        <v>18785</v>
      </c>
    </row>
    <row r="35" spans="1:5" ht="15" customHeight="1" x14ac:dyDescent="0.25">
      <c r="A35" s="13" t="s">
        <v>93</v>
      </c>
      <c r="B35" s="25">
        <f>G30</f>
        <v>18645.660777891713</v>
      </c>
      <c r="D35" s="13" t="s">
        <v>98</v>
      </c>
      <c r="E35" s="27">
        <f>B20</f>
        <v>0.12</v>
      </c>
    </row>
    <row r="36" spans="1:5" ht="15" customHeight="1" x14ac:dyDescent="0.25">
      <c r="A36" s="13" t="s">
        <v>99</v>
      </c>
      <c r="B36" s="25">
        <f>B34+B35</f>
        <v>28737.719102086972</v>
      </c>
      <c r="D36" s="13" t="s">
        <v>100</v>
      </c>
      <c r="E36" s="28">
        <f>E25</f>
        <v>1827.4048</v>
      </c>
    </row>
    <row r="37" spans="1:5" ht="15" customHeight="1" x14ac:dyDescent="0.25">
      <c r="A37" s="13" t="s">
        <v>101</v>
      </c>
      <c r="B37" s="25">
        <f>B12</f>
        <v>11000</v>
      </c>
      <c r="D37" s="13" t="s">
        <v>102</v>
      </c>
      <c r="E37" s="25">
        <f>E36-E34*E35</f>
        <v>-426.7951999999998</v>
      </c>
    </row>
    <row r="38" spans="1:5" ht="15" customHeight="1" x14ac:dyDescent="0.25">
      <c r="A38" s="13" t="s">
        <v>103</v>
      </c>
      <c r="B38" s="25">
        <f>B36-B37</f>
        <v>17737.719102086972</v>
      </c>
      <c r="D38" s="13" t="s">
        <v>104</v>
      </c>
      <c r="E38" s="25">
        <f>E37/(1+B20)*(1-(1/(1+B20)^5))/B20</f>
        <v>-1373.6617680670329</v>
      </c>
    </row>
    <row r="39" spans="1:5" ht="15" customHeight="1" x14ac:dyDescent="0.25">
      <c r="A39" s="13" t="s">
        <v>16</v>
      </c>
      <c r="B39" s="25">
        <f>B11</f>
        <v>1112</v>
      </c>
    </row>
    <row r="40" spans="1:5" ht="15" customHeight="1" x14ac:dyDescent="0.25">
      <c r="A40" s="13" t="s">
        <v>64</v>
      </c>
      <c r="B40" s="25">
        <f>B38/B39</f>
        <v>15.951186242883967</v>
      </c>
    </row>
    <row r="43" spans="1:5" ht="15" customHeight="1" x14ac:dyDescent="0.25">
      <c r="A43" s="22" t="s">
        <v>105</v>
      </c>
      <c r="D43" s="22" t="s">
        <v>106</v>
      </c>
    </row>
    <row r="44" spans="1:5" ht="15" customHeight="1" x14ac:dyDescent="0.25">
      <c r="A44" s="13" t="s">
        <v>107</v>
      </c>
      <c r="B44" s="18">
        <f>E25</f>
        <v>1827.4048</v>
      </c>
      <c r="D44" s="13" t="s">
        <v>60</v>
      </c>
      <c r="E44" s="23">
        <f>B20</f>
        <v>0.12</v>
      </c>
    </row>
    <row r="45" spans="1:5" ht="15" customHeight="1" x14ac:dyDescent="0.25">
      <c r="A45" s="13" t="s">
        <v>16</v>
      </c>
      <c r="B45" s="16">
        <f>B11</f>
        <v>1112</v>
      </c>
      <c r="D45" s="13" t="s">
        <v>108</v>
      </c>
      <c r="E45" s="25">
        <f>E38</f>
        <v>-1373.6617680670329</v>
      </c>
    </row>
    <row r="46" spans="1:5" ht="15" customHeight="1" x14ac:dyDescent="0.25">
      <c r="A46" s="13" t="s">
        <v>68</v>
      </c>
      <c r="B46" s="25">
        <f>B44/B45</f>
        <v>1.6433496402877699</v>
      </c>
      <c r="D46" s="13" t="s">
        <v>68</v>
      </c>
      <c r="E46" s="25">
        <f>B46</f>
        <v>1.6433496402877699</v>
      </c>
    </row>
    <row r="47" spans="1:5" ht="15" customHeight="1" x14ac:dyDescent="0.25">
      <c r="D47" s="13" t="s">
        <v>69</v>
      </c>
      <c r="E47" s="25">
        <f>B38</f>
        <v>17737.719102086972</v>
      </c>
    </row>
    <row r="48" spans="1:5" ht="15" customHeight="1" x14ac:dyDescent="0.25">
      <c r="D48" s="13" t="s">
        <v>64</v>
      </c>
      <c r="E48" s="25">
        <f>B40</f>
        <v>15.951186242883967</v>
      </c>
    </row>
  </sheetData>
  <pageMargins left="0.7" right="0.7" top="0.75" bottom="0.75" header="0.511811023622047" footer="0.511811023622047"/>
  <pageSetup paperSize="9" scale="49" fitToHeight="0" orientation="landscape" horizontalDpi="300" verticalDpi="300" r:id="rId1"/>
  <headerFooter scaleWithDoc="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47"/>
  <sheetViews>
    <sheetView showGridLines="0" zoomScaleNormal="100" workbookViewId="0">
      <pane ySplit="1" topLeftCell="A25" activePane="bottomLeft" state="frozen"/>
      <selection pane="bottomLeft" activeCell="B44" sqref="B44"/>
    </sheetView>
  </sheetViews>
  <sheetFormatPr defaultColWidth="8.7109375" defaultRowHeight="15" customHeight="1" x14ac:dyDescent="0.25"/>
  <cols>
    <col min="1" max="1" width="65.28515625" customWidth="1"/>
    <col min="2" max="4" width="20.7109375" customWidth="1"/>
    <col min="6" max="9" width="36.7109375" customWidth="1"/>
  </cols>
  <sheetData>
    <row r="1" spans="1:2" ht="18.75" customHeight="1" x14ac:dyDescent="0.3">
      <c r="A1" s="11" t="s">
        <v>111</v>
      </c>
    </row>
    <row r="3" spans="1:2" ht="15" customHeight="1" x14ac:dyDescent="0.25">
      <c r="A3" s="13" t="s">
        <v>112</v>
      </c>
      <c r="B3" s="28">
        <f>Inputs!B12</f>
        <v>8.8800000000000008</v>
      </c>
    </row>
    <row r="4" spans="1:2" ht="15" customHeight="1" x14ac:dyDescent="0.25">
      <c r="A4" s="13" t="s">
        <v>113</v>
      </c>
      <c r="B4" s="28">
        <f>Inputs!C12</f>
        <v>12.54</v>
      </c>
    </row>
    <row r="5" spans="1:2" ht="15" customHeight="1" x14ac:dyDescent="0.25">
      <c r="A5" s="13" t="s">
        <v>114</v>
      </c>
      <c r="B5" s="16">
        <f>Inputs!B11</f>
        <v>1112</v>
      </c>
    </row>
    <row r="6" spans="1:2" ht="15" customHeight="1" x14ac:dyDescent="0.25">
      <c r="A6" s="13" t="s">
        <v>115</v>
      </c>
      <c r="B6" s="16">
        <f>Inputs!C11</f>
        <v>2613</v>
      </c>
    </row>
    <row r="8" spans="1:2" ht="15" customHeight="1" x14ac:dyDescent="0.25">
      <c r="A8" s="13" t="s">
        <v>116</v>
      </c>
      <c r="B8" s="15">
        <f>Inputs!B24</f>
        <v>1.472</v>
      </c>
    </row>
    <row r="9" spans="1:2" ht="15" customHeight="1" x14ac:dyDescent="0.25">
      <c r="A9" s="13" t="s">
        <v>117</v>
      </c>
      <c r="B9" s="28">
        <f>B4*(1+B8)</f>
        <v>30.998879999999996</v>
      </c>
    </row>
    <row r="10" spans="1:2" ht="15" customHeight="1" x14ac:dyDescent="0.25">
      <c r="A10" s="13" t="s">
        <v>118</v>
      </c>
      <c r="B10" s="20">
        <f>Inputs!B25</f>
        <v>0</v>
      </c>
    </row>
    <row r="11" spans="1:2" ht="15" customHeight="1" x14ac:dyDescent="0.25">
      <c r="A11" s="13" t="s">
        <v>119</v>
      </c>
      <c r="B11" s="23">
        <f>B9/B3</f>
        <v>3.4908648648648639</v>
      </c>
    </row>
    <row r="13" spans="1:2" ht="15" customHeight="1" x14ac:dyDescent="0.25">
      <c r="A13" s="22" t="s">
        <v>120</v>
      </c>
    </row>
    <row r="14" spans="1:2" ht="15" customHeight="1" x14ac:dyDescent="0.25">
      <c r="A14" s="13" t="s">
        <v>121</v>
      </c>
      <c r="B14" s="28">
        <f>B9*B6</f>
        <v>81000.073439999993</v>
      </c>
    </row>
    <row r="15" spans="1:2" ht="15" customHeight="1" x14ac:dyDescent="0.25">
      <c r="A15" s="13" t="s">
        <v>122</v>
      </c>
      <c r="B15" s="29">
        <f>B6*B11*B10</f>
        <v>0</v>
      </c>
    </row>
    <row r="16" spans="1:2" ht="15" customHeight="1" x14ac:dyDescent="0.25">
      <c r="A16" s="13" t="s">
        <v>123</v>
      </c>
      <c r="B16" s="29">
        <f>B5+B15</f>
        <v>1112</v>
      </c>
    </row>
    <row r="19" spans="1:2" ht="15" customHeight="1" x14ac:dyDescent="0.25">
      <c r="A19" s="22" t="s">
        <v>124</v>
      </c>
    </row>
    <row r="20" spans="1:2" ht="15" customHeight="1" x14ac:dyDescent="0.25">
      <c r="A20" s="13" t="s">
        <v>125</v>
      </c>
      <c r="B20" s="28">
        <f>Val_PSKY!B44</f>
        <v>1827.4048</v>
      </c>
    </row>
    <row r="21" spans="1:2" ht="15" customHeight="1" x14ac:dyDescent="0.25">
      <c r="A21" s="13" t="s">
        <v>126</v>
      </c>
      <c r="B21" s="28">
        <f>Val_WBD!B44</f>
        <v>3962.5123200000003</v>
      </c>
    </row>
    <row r="22" spans="1:2" ht="15" customHeight="1" x14ac:dyDescent="0.25">
      <c r="A22" s="13" t="s">
        <v>127</v>
      </c>
      <c r="B22" s="28">
        <f>B20+B21</f>
        <v>5789.9171200000001</v>
      </c>
    </row>
    <row r="24" spans="1:2" ht="15" customHeight="1" x14ac:dyDescent="0.25">
      <c r="A24" s="22" t="s">
        <v>128</v>
      </c>
    </row>
    <row r="25" spans="1:2" ht="15" customHeight="1" x14ac:dyDescent="0.25">
      <c r="A25" s="13" t="s">
        <v>129</v>
      </c>
      <c r="B25" s="30">
        <f>Inputs!B26</f>
        <v>4000</v>
      </c>
    </row>
    <row r="26" spans="1:2" ht="15" customHeight="1" x14ac:dyDescent="0.25">
      <c r="A26" s="13" t="s">
        <v>130</v>
      </c>
      <c r="B26" s="28">
        <f>Inputs!B27</f>
        <v>2000</v>
      </c>
    </row>
    <row r="27" spans="1:2" ht="15" customHeight="1" x14ac:dyDescent="0.25">
      <c r="A27" s="13" t="s">
        <v>31</v>
      </c>
      <c r="B27" s="28">
        <f>Inputs!B28</f>
        <v>0.25</v>
      </c>
    </row>
    <row r="29" spans="1:2" ht="15" customHeight="1" x14ac:dyDescent="0.25">
      <c r="A29" s="13" t="s">
        <v>131</v>
      </c>
      <c r="B29" s="16">
        <f>Inputs!D7</f>
        <v>0.24</v>
      </c>
    </row>
    <row r="31" spans="1:2" ht="15" customHeight="1" x14ac:dyDescent="0.25">
      <c r="A31" s="13" t="s">
        <v>132</v>
      </c>
      <c r="B31" s="28">
        <f>((B25+B26*B27)*(1-B29))*Inputs!B30</f>
        <v>342</v>
      </c>
    </row>
    <row r="32" spans="1:2" ht="15" customHeight="1" x14ac:dyDescent="0.25">
      <c r="A32" s="13" t="s">
        <v>133</v>
      </c>
      <c r="B32" s="28">
        <f>((B25+B26*B27)*(1-B29))*Inputs!B31</f>
        <v>513</v>
      </c>
    </row>
    <row r="33" spans="1:2" ht="15" customHeight="1" x14ac:dyDescent="0.25">
      <c r="A33" s="13" t="s">
        <v>134</v>
      </c>
      <c r="B33" s="28">
        <f>((B25+B26*B27)*(1-B29))*Inputs!B32</f>
        <v>684</v>
      </c>
    </row>
    <row r="34" spans="1:2" ht="15" customHeight="1" x14ac:dyDescent="0.25">
      <c r="A34" s="13" t="s">
        <v>135</v>
      </c>
      <c r="B34" s="28">
        <f>((B25+B26*B27)*(1-B29))*Inputs!B33</f>
        <v>855</v>
      </c>
    </row>
    <row r="35" spans="1:2" ht="15" customHeight="1" x14ac:dyDescent="0.25">
      <c r="A35" s="13" t="s">
        <v>136</v>
      </c>
      <c r="B35" s="28">
        <f>((B25+B26*B27)*(1-B29))*Inputs!B34</f>
        <v>855</v>
      </c>
    </row>
    <row r="37" spans="1:2" ht="15" customHeight="1" x14ac:dyDescent="0.25">
      <c r="A37" s="13" t="s">
        <v>137</v>
      </c>
      <c r="B37" s="28">
        <f>B22+B31</f>
        <v>6131.9171200000001</v>
      </c>
    </row>
    <row r="38" spans="1:2" ht="15" customHeight="1" x14ac:dyDescent="0.25">
      <c r="A38" s="13" t="s">
        <v>138</v>
      </c>
      <c r="B38" s="28">
        <f>B16</f>
        <v>1112</v>
      </c>
    </row>
    <row r="39" spans="1:2" ht="15" customHeight="1" x14ac:dyDescent="0.25">
      <c r="A39" s="13" t="s">
        <v>139</v>
      </c>
      <c r="B39" s="28">
        <f>B37/B38</f>
        <v>5.5143139568345321</v>
      </c>
    </row>
    <row r="40" spans="1:2" ht="15" customHeight="1" x14ac:dyDescent="0.25">
      <c r="A40" s="13" t="s">
        <v>140</v>
      </c>
      <c r="B40" s="28">
        <f>Val_PSKY!B46</f>
        <v>1.6433496402877699</v>
      </c>
    </row>
    <row r="41" spans="1:2" ht="15" customHeight="1" x14ac:dyDescent="0.25">
      <c r="A41" s="13" t="s">
        <v>141</v>
      </c>
      <c r="B41" s="28">
        <f>B39-B40</f>
        <v>3.870964316546762</v>
      </c>
    </row>
    <row r="44" spans="1:2" ht="15" customHeight="1" x14ac:dyDescent="0.25">
      <c r="A44" s="22" t="s">
        <v>142</v>
      </c>
    </row>
    <row r="45" spans="1:2" ht="15" customHeight="1" x14ac:dyDescent="0.25">
      <c r="A45" s="13" t="s">
        <v>143</v>
      </c>
      <c r="B45" s="18">
        <f>B35</f>
        <v>855</v>
      </c>
    </row>
    <row r="46" spans="1:2" ht="15" customHeight="1" x14ac:dyDescent="0.25">
      <c r="A46" s="13" t="s">
        <v>144</v>
      </c>
      <c r="B46" s="31">
        <f>Val_Combined!B20</f>
        <v>0.11725000000000001</v>
      </c>
    </row>
    <row r="47" spans="1:2" ht="15" customHeight="1" x14ac:dyDescent="0.25">
      <c r="A47" s="13" t="s">
        <v>145</v>
      </c>
      <c r="B47" s="18">
        <f>B45/B46</f>
        <v>7292.1108742004262</v>
      </c>
    </row>
  </sheetData>
  <pageMargins left="0.7" right="0.7" top="0.75" bottom="0.75" header="0.511811023622047" footer="0.511811023622047"/>
  <pageSetup paperSize="9" scale="82" fitToHeight="0" orientation="portrait" horizontalDpi="300" verticalDpi="300" r:id="rId1"/>
  <headerFooter scaleWithDoc="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8"/>
  <sheetViews>
    <sheetView showGridLines="0" zoomScaleNormal="100" workbookViewId="0">
      <pane ySplit="1" topLeftCell="A2" activePane="bottomLeft" state="frozen"/>
      <selection pane="bottomLeft" activeCell="A6" sqref="A6"/>
    </sheetView>
  </sheetViews>
  <sheetFormatPr defaultColWidth="8.7109375" defaultRowHeight="15" customHeight="1" x14ac:dyDescent="0.25"/>
  <cols>
    <col min="1" max="1" width="32.28515625" customWidth="1"/>
    <col min="2" max="3" width="16.7109375" customWidth="1"/>
    <col min="4" max="4" width="39.42578125" customWidth="1"/>
    <col min="5" max="5" width="16.7109375" customWidth="1"/>
    <col min="6" max="6" width="18.7109375" customWidth="1"/>
    <col min="7" max="8" width="16.7109375" customWidth="1"/>
    <col min="9" max="9" width="9.140625" customWidth="1"/>
    <col min="10" max="10" width="13.140625" customWidth="1"/>
    <col min="11" max="11" width="12.140625" customWidth="1"/>
    <col min="12" max="13" width="36.7109375" customWidth="1"/>
  </cols>
  <sheetData>
    <row r="1" spans="1:5" ht="18.75" customHeight="1" x14ac:dyDescent="0.3">
      <c r="A1" s="11" t="s">
        <v>110</v>
      </c>
    </row>
    <row r="3" spans="1:5" ht="15" customHeight="1" x14ac:dyDescent="0.25">
      <c r="A3" s="22" t="s">
        <v>71</v>
      </c>
    </row>
    <row r="4" spans="1:5" ht="15" customHeight="1" x14ac:dyDescent="0.25">
      <c r="A4" s="13" t="s">
        <v>59</v>
      </c>
      <c r="B4" s="13" t="s">
        <v>3</v>
      </c>
      <c r="D4" s="22" t="s">
        <v>72</v>
      </c>
    </row>
    <row r="5" spans="1:5" ht="15" customHeight="1" x14ac:dyDescent="0.25">
      <c r="A5" s="13" t="s">
        <v>6</v>
      </c>
      <c r="B5" s="16">
        <f>Inputs!D5</f>
        <v>68220</v>
      </c>
      <c r="D5" s="13" t="s">
        <v>33</v>
      </c>
      <c r="E5" s="26">
        <f>Inputs!D15</f>
        <v>0.03</v>
      </c>
    </row>
    <row r="6" spans="1:5" ht="15" customHeight="1" x14ac:dyDescent="0.25">
      <c r="A6" s="13" t="s">
        <v>8</v>
      </c>
      <c r="B6" s="19">
        <f>Inputs!D6</f>
        <v>0.10881852829082381</v>
      </c>
      <c r="D6" s="13" t="s">
        <v>34</v>
      </c>
      <c r="E6" s="26">
        <f>Inputs!D16</f>
        <v>0.04</v>
      </c>
    </row>
    <row r="7" spans="1:5" ht="15" customHeight="1" x14ac:dyDescent="0.25">
      <c r="A7" s="13" t="s">
        <v>10</v>
      </c>
      <c r="B7" s="19">
        <f>Inputs!D7</f>
        <v>0.24</v>
      </c>
      <c r="D7" s="13" t="s">
        <v>35</v>
      </c>
      <c r="E7" s="26">
        <f>Inputs!D17</f>
        <v>4.4999999999999998E-2</v>
      </c>
    </row>
    <row r="8" spans="1:5" ht="15" customHeight="1" x14ac:dyDescent="0.25">
      <c r="A8" s="13" t="s">
        <v>73</v>
      </c>
      <c r="B8" s="19">
        <f>Inputs!D8</f>
        <v>0.14000000000000001</v>
      </c>
      <c r="D8" s="13" t="s">
        <v>36</v>
      </c>
      <c r="E8" s="26">
        <f>Inputs!D18</f>
        <v>0.04</v>
      </c>
    </row>
    <row r="9" spans="1:5" ht="15" customHeight="1" x14ac:dyDescent="0.25">
      <c r="A9" s="13" t="s">
        <v>74</v>
      </c>
      <c r="B9" s="19">
        <f>Inputs!D9</f>
        <v>0.08</v>
      </c>
      <c r="D9" s="13" t="s">
        <v>37</v>
      </c>
      <c r="E9" s="26">
        <f>Inputs!D19</f>
        <v>0.03</v>
      </c>
    </row>
    <row r="10" spans="1:5" ht="15" customHeight="1" x14ac:dyDescent="0.25">
      <c r="A10" s="13" t="s">
        <v>75</v>
      </c>
      <c r="B10" s="19">
        <f>Inputs!D10</f>
        <v>1.7500000000000002E-2</v>
      </c>
      <c r="D10" s="13" t="s">
        <v>76</v>
      </c>
      <c r="E10" s="26">
        <f>Inputs!D20</f>
        <v>2.2499999999999999E-2</v>
      </c>
    </row>
    <row r="11" spans="1:5" ht="15" customHeight="1" x14ac:dyDescent="0.25">
      <c r="A11" s="13" t="s">
        <v>16</v>
      </c>
      <c r="B11" s="16">
        <f>Inputs!D11</f>
        <v>1112</v>
      </c>
    </row>
    <row r="12" spans="1:5" ht="15" customHeight="1" x14ac:dyDescent="0.25">
      <c r="A12" s="13" t="s">
        <v>18</v>
      </c>
      <c r="B12" s="18">
        <f>Inputs!D13</f>
        <v>45600</v>
      </c>
    </row>
    <row r="13" spans="1:5" ht="15" customHeight="1" x14ac:dyDescent="0.25">
      <c r="A13" s="13" t="s">
        <v>77</v>
      </c>
      <c r="B13" s="19">
        <f>Inputs!D14</f>
        <v>0.72500000000000009</v>
      </c>
    </row>
    <row r="16" spans="1:5" ht="15" customHeight="1" x14ac:dyDescent="0.25">
      <c r="A16" s="22" t="s">
        <v>78</v>
      </c>
    </row>
    <row r="17" spans="1:11" ht="15" customHeight="1" x14ac:dyDescent="0.25">
      <c r="A17" s="13" t="s">
        <v>5</v>
      </c>
      <c r="B17" s="26">
        <f>Inputs!G4</f>
        <v>4.2999999999999997E-2</v>
      </c>
    </row>
    <row r="18" spans="1:11" ht="15" customHeight="1" x14ac:dyDescent="0.25">
      <c r="A18" s="13" t="s">
        <v>7</v>
      </c>
      <c r="B18" s="26">
        <f>Inputs!G5</f>
        <v>5.5E-2</v>
      </c>
    </row>
    <row r="19" spans="1:11" ht="15" customHeight="1" x14ac:dyDescent="0.25">
      <c r="A19" s="13" t="s">
        <v>79</v>
      </c>
      <c r="B19" s="15">
        <f>Inputs!G8</f>
        <v>1.35</v>
      </c>
    </row>
    <row r="20" spans="1:11" ht="15" customHeight="1" x14ac:dyDescent="0.25">
      <c r="A20" s="13" t="s">
        <v>60</v>
      </c>
      <c r="B20" s="23">
        <f>B17+B19*B18</f>
        <v>0.11725000000000001</v>
      </c>
    </row>
    <row r="23" spans="1:11" ht="15" customHeight="1" x14ac:dyDescent="0.25">
      <c r="A23" s="22" t="s">
        <v>80</v>
      </c>
    </row>
    <row r="24" spans="1:11" ht="15" customHeight="1" x14ac:dyDescent="0.25">
      <c r="A24" s="12"/>
      <c r="B24" s="12" t="s">
        <v>81</v>
      </c>
      <c r="C24" s="12" t="s">
        <v>82</v>
      </c>
      <c r="D24" s="12" t="s">
        <v>83</v>
      </c>
      <c r="E24" s="12" t="s">
        <v>84</v>
      </c>
      <c r="F24" s="12" t="s">
        <v>85</v>
      </c>
      <c r="G24" s="12" t="s">
        <v>86</v>
      </c>
      <c r="H24" s="12" t="s">
        <v>87</v>
      </c>
      <c r="I24" s="12" t="s">
        <v>88</v>
      </c>
      <c r="J24" s="12" t="s">
        <v>89</v>
      </c>
      <c r="K24" s="12" t="s">
        <v>90</v>
      </c>
    </row>
    <row r="25" spans="1:11" ht="15" customHeight="1" x14ac:dyDescent="0.25">
      <c r="A25" s="13" t="s">
        <v>33</v>
      </c>
      <c r="B25" s="18">
        <f>B5*(1+E5)</f>
        <v>70266.600000000006</v>
      </c>
      <c r="C25" s="18">
        <f>B25*$B$6</f>
        <v>7646.3080000000009</v>
      </c>
      <c r="D25" s="18">
        <f>C25*$B$7</f>
        <v>1835.1139200000002</v>
      </c>
      <c r="E25" s="18">
        <f>C25-D25</f>
        <v>5811.1940800000011</v>
      </c>
      <c r="F25" s="18">
        <f>B25*$B$8</f>
        <v>9837.3240000000023</v>
      </c>
      <c r="G25" s="18">
        <f>B25*$B$9</f>
        <v>5621.3280000000004</v>
      </c>
      <c r="H25" s="18">
        <f>B25*$B$10</f>
        <v>1229.6655000000003</v>
      </c>
      <c r="I25" s="18">
        <f>E25+F25-G25-H25</f>
        <v>8797.524580000003</v>
      </c>
      <c r="J25" s="16">
        <f>1/(1+$B$20)^1</f>
        <v>0.89505482210785403</v>
      </c>
      <c r="K25" s="16">
        <f>I25*J25</f>
        <v>7874.2667979413764</v>
      </c>
    </row>
    <row r="26" spans="1:11" ht="15" customHeight="1" x14ac:dyDescent="0.25">
      <c r="A26" s="13" t="s">
        <v>34</v>
      </c>
      <c r="B26" s="18">
        <f>B25*(1+E6)</f>
        <v>73077.26400000001</v>
      </c>
      <c r="C26" s="18">
        <f>B26*$B$6</f>
        <v>7952.1603200000009</v>
      </c>
      <c r="D26" s="18">
        <f>C26*$B$7</f>
        <v>1908.5184768000001</v>
      </c>
      <c r="E26" s="18">
        <f>C26-D26</f>
        <v>6043.6418432000009</v>
      </c>
      <c r="F26" s="18">
        <f>B26*$B$8</f>
        <v>10230.816960000002</v>
      </c>
      <c r="G26" s="18">
        <f>B26*$B$9</f>
        <v>5846.1811200000011</v>
      </c>
      <c r="H26" s="18">
        <f>B26*$B$10</f>
        <v>1278.8521200000002</v>
      </c>
      <c r="I26" s="18">
        <f>E26+F26-G26-H26</f>
        <v>9149.4255632000022</v>
      </c>
      <c r="J26" s="16">
        <f>1/(1+$B$20)^2</f>
        <v>0.80112313457852224</v>
      </c>
      <c r="K26" s="16">
        <f>I26*J26</f>
        <v>7329.8164867836467</v>
      </c>
    </row>
    <row r="27" spans="1:11" ht="15" customHeight="1" x14ac:dyDescent="0.25">
      <c r="A27" s="13" t="s">
        <v>35</v>
      </c>
      <c r="B27" s="18">
        <f>B26*(1+E7)</f>
        <v>76365.740880000012</v>
      </c>
      <c r="C27" s="18">
        <f>B27*$B$6</f>
        <v>8310.0075344000015</v>
      </c>
      <c r="D27" s="18">
        <f>C27*$B$7</f>
        <v>1994.4018082560003</v>
      </c>
      <c r="E27" s="18">
        <f>C27-D27</f>
        <v>6315.605726144001</v>
      </c>
      <c r="F27" s="18">
        <f>B27*$B$8</f>
        <v>10691.203723200002</v>
      </c>
      <c r="G27" s="18">
        <f>B27*$B$9</f>
        <v>6109.2592704000008</v>
      </c>
      <c r="H27" s="18">
        <f>B27*$B$10</f>
        <v>1336.4004654000003</v>
      </c>
      <c r="I27" s="18">
        <f>E27+F27-G27-H27</f>
        <v>9561.1497135440022</v>
      </c>
      <c r="J27" s="16">
        <f>1/(1+$B$20)^3</f>
        <v>0.7170491247066656</v>
      </c>
      <c r="K27" s="16">
        <f>I27*J27</f>
        <v>6855.814033286113</v>
      </c>
    </row>
    <row r="28" spans="1:11" ht="15" customHeight="1" x14ac:dyDescent="0.25">
      <c r="A28" s="13" t="s">
        <v>36</v>
      </c>
      <c r="B28" s="18">
        <f>B27*(1+E8)</f>
        <v>79420.370515200018</v>
      </c>
      <c r="C28" s="18">
        <f>B28*$B$6</f>
        <v>8642.4078357760027</v>
      </c>
      <c r="D28" s="18">
        <f>C28*$B$7</f>
        <v>2074.1778805862405</v>
      </c>
      <c r="E28" s="18">
        <f>C28-D28</f>
        <v>6568.2299551897622</v>
      </c>
      <c r="F28" s="18">
        <f>B28*$B$8</f>
        <v>11118.851872128003</v>
      </c>
      <c r="G28" s="18">
        <f>B28*$B$9</f>
        <v>6353.6296412160018</v>
      </c>
      <c r="H28" s="18">
        <f>B28*$B$10</f>
        <v>1389.8564840160004</v>
      </c>
      <c r="I28" s="18">
        <f>E28+F28-G28-H28</f>
        <v>9943.5957020857641</v>
      </c>
      <c r="J28" s="16">
        <f>1/(1+$B$20)^4</f>
        <v>0.64179827675691703</v>
      </c>
      <c r="K28" s="16">
        <f>I28*J28</f>
        <v>6381.7825863661301</v>
      </c>
    </row>
    <row r="29" spans="1:11" ht="15" customHeight="1" x14ac:dyDescent="0.25">
      <c r="A29" s="13" t="s">
        <v>37</v>
      </c>
      <c r="B29" s="18">
        <f>B28*(1+E9)</f>
        <v>81802.981630656024</v>
      </c>
      <c r="C29" s="18">
        <f>B29*$B$6</f>
        <v>8901.6800708492829</v>
      </c>
      <c r="D29" s="18">
        <f>C29*$B$7</f>
        <v>2136.4032170038276</v>
      </c>
      <c r="E29" s="18">
        <f>C29-D29</f>
        <v>6765.2768538454548</v>
      </c>
      <c r="F29" s="18">
        <f>B29*$B$8</f>
        <v>11452.417428291845</v>
      </c>
      <c r="G29" s="18">
        <f>B29*$B$9</f>
        <v>6544.2385304524823</v>
      </c>
      <c r="H29" s="18">
        <f>B29*$B$10</f>
        <v>1431.5521785364806</v>
      </c>
      <c r="I29" s="18">
        <f>E29+F29-G29-H29</f>
        <v>10241.903573148338</v>
      </c>
      <c r="J29" s="16">
        <f>1/(1+$B$20)^5</f>
        <v>0.57444464243178961</v>
      </c>
      <c r="K29" s="16">
        <f>I29*J29</f>
        <v>5883.4066358980654</v>
      </c>
    </row>
    <row r="30" spans="1:11" ht="15" customHeight="1" x14ac:dyDescent="0.25">
      <c r="A30" s="13" t="s">
        <v>91</v>
      </c>
      <c r="B30" s="18">
        <f>I29</f>
        <v>10241.903573148338</v>
      </c>
      <c r="C30" s="18">
        <f>B30*(1+E10)/(B20-E10)</f>
        <v>110526.08341471426</v>
      </c>
      <c r="D30" s="13" t="s">
        <v>92</v>
      </c>
      <c r="E30" s="16">
        <f>J29</f>
        <v>0.57444464243178961</v>
      </c>
      <c r="F30" s="13" t="s">
        <v>93</v>
      </c>
      <c r="G30" s="18">
        <f>C30*E30</f>
        <v>63491.116466551684</v>
      </c>
    </row>
    <row r="33" spans="1:5" ht="15" customHeight="1" x14ac:dyDescent="0.25">
      <c r="A33" s="22" t="s">
        <v>94</v>
      </c>
      <c r="D33" s="22" t="s">
        <v>95</v>
      </c>
    </row>
    <row r="34" spans="1:5" ht="15" customHeight="1" x14ac:dyDescent="0.25">
      <c r="A34" s="13" t="s">
        <v>96</v>
      </c>
      <c r="B34" s="25">
        <f>SUM(K25:K29)</f>
        <v>34325.086540275333</v>
      </c>
      <c r="D34" s="13" t="s">
        <v>97</v>
      </c>
      <c r="E34" s="18">
        <f>B5*$B$13</f>
        <v>49459.500000000007</v>
      </c>
    </row>
    <row r="35" spans="1:5" ht="15" customHeight="1" x14ac:dyDescent="0.25">
      <c r="A35" s="13" t="s">
        <v>93</v>
      </c>
      <c r="B35" s="25">
        <f>G30</f>
        <v>63491.116466551684</v>
      </c>
      <c r="D35" s="13" t="s">
        <v>98</v>
      </c>
      <c r="E35" s="27">
        <f>B20</f>
        <v>0.11725000000000001</v>
      </c>
    </row>
    <row r="36" spans="1:5" ht="15" customHeight="1" x14ac:dyDescent="0.25">
      <c r="A36" s="13" t="s">
        <v>99</v>
      </c>
      <c r="B36" s="25">
        <f>B34+B35</f>
        <v>97816.203006827011</v>
      </c>
      <c r="D36" s="13" t="s">
        <v>100</v>
      </c>
      <c r="E36" s="28">
        <f>E25</f>
        <v>5811.1940800000011</v>
      </c>
    </row>
    <row r="37" spans="1:5" ht="15" customHeight="1" x14ac:dyDescent="0.25">
      <c r="A37" s="13" t="s">
        <v>101</v>
      </c>
      <c r="B37" s="25">
        <f>B12</f>
        <v>45600</v>
      </c>
      <c r="D37" s="13" t="s">
        <v>102</v>
      </c>
      <c r="E37" s="25">
        <f>E36-E34*E35</f>
        <v>12.067704999999478</v>
      </c>
    </row>
    <row r="38" spans="1:5" ht="15" customHeight="1" x14ac:dyDescent="0.25">
      <c r="A38" s="13" t="s">
        <v>103</v>
      </c>
      <c r="B38" s="25">
        <f>B36-B37</f>
        <v>52216.203006827011</v>
      </c>
      <c r="D38" s="13" t="s">
        <v>104</v>
      </c>
      <c r="E38" s="25">
        <f>E37/(1+B20)*(1-(1/(1+B20)^5))/B20</f>
        <v>39.202840253630349</v>
      </c>
    </row>
    <row r="39" spans="1:5" ht="15" customHeight="1" x14ac:dyDescent="0.25">
      <c r="A39" s="13" t="s">
        <v>16</v>
      </c>
      <c r="B39" s="25">
        <f>B11</f>
        <v>1112</v>
      </c>
    </row>
    <row r="40" spans="1:5" ht="15" customHeight="1" x14ac:dyDescent="0.25">
      <c r="A40" s="13" t="s">
        <v>64</v>
      </c>
      <c r="B40" s="25">
        <f>B38/B39</f>
        <v>46.957017092470331</v>
      </c>
    </row>
    <row r="43" spans="1:5" ht="15" customHeight="1" x14ac:dyDescent="0.25">
      <c r="A43" s="22" t="s">
        <v>105</v>
      </c>
      <c r="D43" s="22" t="s">
        <v>106</v>
      </c>
    </row>
    <row r="44" spans="1:5" ht="15" customHeight="1" x14ac:dyDescent="0.25">
      <c r="A44" s="13" t="s">
        <v>107</v>
      </c>
      <c r="B44" s="18">
        <f>E25</f>
        <v>5811.1940800000011</v>
      </c>
      <c r="D44" s="13" t="s">
        <v>60</v>
      </c>
      <c r="E44" s="23">
        <f>B20</f>
        <v>0.11725000000000001</v>
      </c>
    </row>
    <row r="45" spans="1:5" ht="15" customHeight="1" x14ac:dyDescent="0.25">
      <c r="A45" s="13" t="s">
        <v>16</v>
      </c>
      <c r="B45" s="16">
        <f>B11</f>
        <v>1112</v>
      </c>
      <c r="D45" s="13" t="s">
        <v>108</v>
      </c>
      <c r="E45" s="25">
        <f>E38</f>
        <v>39.202840253630349</v>
      </c>
    </row>
    <row r="46" spans="1:5" ht="15" customHeight="1" x14ac:dyDescent="0.25">
      <c r="A46" s="13" t="s">
        <v>68</v>
      </c>
      <c r="B46" s="25">
        <f>B44/B45</f>
        <v>5.2258939568345335</v>
      </c>
      <c r="D46" s="13" t="s">
        <v>68</v>
      </c>
      <c r="E46" s="25">
        <f>B46</f>
        <v>5.2258939568345335</v>
      </c>
    </row>
    <row r="47" spans="1:5" ht="15" customHeight="1" x14ac:dyDescent="0.25">
      <c r="D47" s="13" t="s">
        <v>69</v>
      </c>
      <c r="E47" s="25">
        <f>B38</f>
        <v>52216.203006827011</v>
      </c>
    </row>
    <row r="48" spans="1:5" ht="15" customHeight="1" x14ac:dyDescent="0.25">
      <c r="D48" s="13" t="s">
        <v>64</v>
      </c>
      <c r="E48" s="25">
        <f>B40</f>
        <v>46.957017092470331</v>
      </c>
    </row>
  </sheetData>
  <pageMargins left="0.7" right="0.7" top="0.75" bottom="0.75" header="0.511811023622047" footer="0.511811023622047"/>
  <pageSetup paperSize="9" scale="63" orientation="landscape" horizontalDpi="300" verticalDpi="300" r:id="rId1"/>
  <headerFooter scaleWithDoc="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7"/>
  <sheetViews>
    <sheetView showGridLines="0" zoomScaleNormal="100" workbookViewId="0">
      <pane ySplit="1" topLeftCell="A2" activePane="bottomLeft" state="frozen"/>
      <selection pane="bottomLeft" activeCell="E11" sqref="E11"/>
    </sheetView>
  </sheetViews>
  <sheetFormatPr defaultColWidth="8.7109375" defaultRowHeight="15" customHeight="1" x14ac:dyDescent="0.25"/>
  <cols>
    <col min="1" max="1" width="28.7109375" customWidth="1"/>
    <col min="2" max="2" width="20.7109375" customWidth="1"/>
    <col min="3" max="3" width="22" customWidth="1"/>
    <col min="4" max="4" width="20.7109375" customWidth="1"/>
    <col min="5" max="5" width="23.28515625" customWidth="1"/>
    <col min="6" max="6" width="20.7109375" customWidth="1"/>
    <col min="8" max="11" width="36.7109375" customWidth="1"/>
  </cols>
  <sheetData>
    <row r="1" spans="1:6" ht="18.75" customHeight="1" x14ac:dyDescent="0.3">
      <c r="A1" s="11" t="s">
        <v>146</v>
      </c>
    </row>
    <row r="2" spans="1:6" x14ac:dyDescent="0.25">
      <c r="A2" s="32"/>
      <c r="B2" s="32"/>
      <c r="C2" s="32"/>
      <c r="D2" s="32"/>
      <c r="E2" s="32"/>
      <c r="F2" s="32"/>
    </row>
    <row r="3" spans="1:6" ht="15" customHeight="1" x14ac:dyDescent="0.25">
      <c r="B3" s="33"/>
      <c r="C3" s="34"/>
      <c r="D3" s="34"/>
      <c r="E3" s="34"/>
      <c r="F3" s="34"/>
    </row>
    <row r="4" spans="1:6" ht="15" customHeight="1" x14ac:dyDescent="0.25">
      <c r="A4" s="35" t="s">
        <v>59</v>
      </c>
      <c r="B4" s="35" t="s">
        <v>60</v>
      </c>
      <c r="C4" s="35" t="s">
        <v>67</v>
      </c>
      <c r="D4" s="35" t="s">
        <v>68</v>
      </c>
      <c r="E4" s="35" t="s">
        <v>69</v>
      </c>
      <c r="F4" s="35" t="s">
        <v>64</v>
      </c>
    </row>
    <row r="5" spans="1:6" ht="15" customHeight="1" x14ac:dyDescent="0.25">
      <c r="A5" s="13" t="s">
        <v>1</v>
      </c>
      <c r="B5" s="23">
        <f>Val_PSKY!E44</f>
        <v>0.12</v>
      </c>
      <c r="C5" s="25">
        <f>Val_PSKY!E45</f>
        <v>-1373.6617680670329</v>
      </c>
      <c r="D5" s="25">
        <f>Val_PSKY!E46</f>
        <v>1.6433496402877699</v>
      </c>
      <c r="E5" s="24">
        <f>Val_PSKY!E47</f>
        <v>17737.719102086972</v>
      </c>
      <c r="F5" s="25">
        <f>Val_PSKY!E48</f>
        <v>15.951186242883967</v>
      </c>
    </row>
    <row r="6" spans="1:6" ht="15" customHeight="1" x14ac:dyDescent="0.25">
      <c r="A6" s="13" t="s">
        <v>2</v>
      </c>
      <c r="B6" s="23">
        <f>Val_WBD!E44</f>
        <v>0.1255</v>
      </c>
      <c r="C6" s="25">
        <f>Val_WBD!E45</f>
        <v>46.713404718541582</v>
      </c>
      <c r="D6" s="25">
        <f>Val_WBD!E46</f>
        <v>1.5164608955223882</v>
      </c>
      <c r="E6" s="24">
        <f>Val_WBD!E47</f>
        <v>28613.036794668355</v>
      </c>
      <c r="F6" s="25">
        <f>Val_WBD!E48</f>
        <v>10.950262837607484</v>
      </c>
    </row>
    <row r="7" spans="1:6" ht="15" customHeight="1" x14ac:dyDescent="0.25">
      <c r="A7" s="13" t="s">
        <v>3</v>
      </c>
      <c r="B7" s="23">
        <f>Val_Combined!E44</f>
        <v>0.11725000000000001</v>
      </c>
      <c r="C7" s="25">
        <f>Val_Combined!E45</f>
        <v>39.202840253630349</v>
      </c>
      <c r="D7" s="25">
        <f>Val_Combined!E46</f>
        <v>5.2258939568345335</v>
      </c>
      <c r="E7" s="24">
        <f>Val_Combined!E47</f>
        <v>52216.203006827011</v>
      </c>
      <c r="F7" s="25">
        <f>Val_Combined!E48</f>
        <v>46.957017092470331</v>
      </c>
    </row>
  </sheetData>
  <pageMargins left="0.7" right="0.7" top="0.75" bottom="0.75" header="0.511811023622047" footer="0.511811023622047"/>
  <pageSetup paperSize="9" scale="96" fitToHeight="0" orientation="landscape" horizontalDpi="300" verticalDpi="300" r:id="rId1"/>
  <headerFooter scaleWithDoc="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Exe Sum</vt:lpstr>
      <vt:lpstr>Memo</vt:lpstr>
      <vt:lpstr>Charts</vt:lpstr>
      <vt:lpstr>Inputs</vt:lpstr>
      <vt:lpstr>Val_WBD</vt:lpstr>
      <vt:lpstr>Val_PSKY</vt:lpstr>
      <vt:lpstr>Deal_Model</vt:lpstr>
      <vt:lpstr>Val_Combined</vt:lpstr>
      <vt:lpstr>Comparative_Valuation</vt:lpstr>
      <vt:lpstr>Master_Key</vt:lpstr>
      <vt:lpstr>Deal_Model!Print_Titles</vt:lpstr>
      <vt:lpstr>Inputs!Print_Titles</vt:lpstr>
      <vt:lpstr>Val_Combined!Print_Titles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Nugent</dc:creator>
  <cp:keywords/>
  <dc:description/>
  <cp:lastModifiedBy>Andres Duarte</cp:lastModifiedBy>
  <cp:revision>3</cp:revision>
  <cp:lastPrinted>2026-04-22T15:25:38Z</cp:lastPrinted>
  <dcterms:created xsi:type="dcterms:W3CDTF">2025-11-15T15:50:03Z</dcterms:created>
  <dcterms:modified xsi:type="dcterms:W3CDTF">2026-04-26T02:12:03Z</dcterms:modified>
  <cp:category/>
  <dc:language>en-US</dc:language>
</cp:coreProperties>
</file>