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charts/chart13.xml" ContentType="application/vnd.openxmlformats-officedocument.drawingml.chart+xml"/>
  <Override PartName="/xl/charts/style14.xml" ContentType="application/vnd.ms-office.chartstyle+xml"/>
  <Override PartName="/xl/charts/colors14.xml" ContentType="application/vnd.ms-office.chartcolorstyle+xml"/>
  <Override PartName="/xl/charts/chart14.xml" ContentType="application/vnd.openxmlformats-officedocument.drawingml.chart+xml"/>
  <Override PartName="/xl/charts/style15.xml" ContentType="application/vnd.ms-office.chartstyle+xml"/>
  <Override PartName="/xl/charts/colors15.xml" ContentType="application/vnd.ms-office.chartcolorstyle+xml"/>
  <Override PartName="/xl/charts/chartEx2.xml" ContentType="application/vnd.ms-office.chartex+xml"/>
  <Override PartName="/xl/charts/style16.xml" ContentType="application/vnd.ms-office.chartstyle+xml"/>
  <Override PartName="/xl/charts/colors16.xml" ContentType="application/vnd.ms-office.chartcolorstyle+xml"/>
  <Override PartName="/xl/charts/chart15.xml" ContentType="application/vnd.openxmlformats-officedocument.drawingml.chart+xml"/>
  <Override PartName="/xl/charts/style17.xml" ContentType="application/vnd.ms-office.chartstyle+xml"/>
  <Override PartName="/xl/charts/colors17.xml" ContentType="application/vnd.ms-office.chartcolorstyle+xml"/>
  <Override PartName="/xl/charts/chart16.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andre\Downloads\"/>
    </mc:Choice>
  </mc:AlternateContent>
  <xr:revisionPtr revIDLastSave="0" documentId="13_ncr:1_{63E4B3CE-E809-49A4-9D11-46C2BAA1CC63}" xr6:coauthVersionLast="47" xr6:coauthVersionMax="47" xr10:uidLastSave="{00000000-0000-0000-0000-000000000000}"/>
  <bookViews>
    <workbookView xWindow="-120" yWindow="-120" windowWidth="29040" windowHeight="15720" xr2:uid="{00000000-000D-0000-FFFF-FFFF00000000}"/>
  </bookViews>
  <sheets>
    <sheet name="Exe Sum &amp; Dashboard" sheetId="4" r:id="rId1"/>
    <sheet name="Memo" sheetId="2" r:id="rId2"/>
    <sheet name="FMSA" sheetId="1" r:id="rId3"/>
  </sheets>
  <definedNames>
    <definedName name="_xlchart.v2.0" hidden="1">FMSA!$A$142</definedName>
    <definedName name="_xlchart.v2.1" hidden="1">FMSA!$H$104:$M$104</definedName>
    <definedName name="_xlchart.v2.2" hidden="1">FMSA!$H$142:$M$142</definedName>
    <definedName name="_xlchart.v2.3" hidden="1">FMSA!$A$142</definedName>
    <definedName name="_xlchart.v2.4" hidden="1">FMSA!$H$104:$M$104</definedName>
    <definedName name="_xlchart.v2.5" hidden="1">FMSA!$H$142:$M$142</definedName>
    <definedName name="Company_Name" localSheetId="2">FMSA!$D$7</definedName>
    <definedName name="Days_In_Year" localSheetId="2">FMSA!$L$5</definedName>
    <definedName name="Debt_Amount" localSheetId="2">FMSA!$L$6</definedName>
    <definedName name="Debt_Date" localSheetId="2">FMSA!$H$7</definedName>
    <definedName name="Enterprise_Value" localSheetId="2">FMSA!$D$19</definedName>
    <definedName name="Equity_Value" localSheetId="2">FMSA!$D$13</definedName>
    <definedName name="Hist_Year" localSheetId="2">FMSA!$H$6</definedName>
    <definedName name="_xlnm.Print_Area" localSheetId="0">'Exe Sum &amp; Dashboard'!$A$1:$AK$86</definedName>
    <definedName name="Share_Price" localSheetId="2">FMSA!$D$8</definedName>
    <definedName name="Tax_Rate" localSheetId="2">FMSA!$L$7</definedName>
    <definedName name="Units" localSheetId="2">FMSA!$H$8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4" i="1" l="1"/>
  <c r="M54" i="1" s="1" a="1"/>
  <c r="M54" i="1" s="1"/>
  <c r="S27" i="2"/>
  <c r="R27" i="2"/>
  <c r="Q27" i="2"/>
  <c r="P27" i="2"/>
  <c r="O27" i="2"/>
  <c r="N27" i="2"/>
  <c r="S21" i="2"/>
  <c r="R21" i="2"/>
  <c r="Q21" i="2"/>
  <c r="P21" i="2"/>
  <c r="O21" i="2"/>
  <c r="N21" i="2"/>
  <c r="S15" i="2"/>
  <c r="R15" i="2"/>
  <c r="Q15" i="2"/>
  <c r="P15" i="2"/>
  <c r="O15" i="2"/>
  <c r="N15" i="2"/>
  <c r="S9" i="2"/>
  <c r="R9" i="2"/>
  <c r="Q9" i="2"/>
  <c r="P9" i="2"/>
  <c r="O9" i="2"/>
  <c r="N9" i="2"/>
  <c r="S3" i="2"/>
  <c r="R3" i="2"/>
  <c r="Q3" i="2"/>
  <c r="P3" i="2"/>
  <c r="O3" i="2"/>
  <c r="N3" i="2"/>
  <c r="U48" i="1"/>
  <c r="T48" i="1"/>
  <c r="S48" i="1"/>
  <c r="R48" i="1"/>
  <c r="Q48" i="1"/>
  <c r="U42" i="1"/>
  <c r="T42" i="1"/>
  <c r="S42" i="1"/>
  <c r="R42" i="1"/>
  <c r="Q42" i="1"/>
  <c r="U36" i="1"/>
  <c r="T36" i="1"/>
  <c r="S36" i="1"/>
  <c r="R36" i="1"/>
  <c r="Q36" i="1"/>
  <c r="U30" i="1"/>
  <c r="T30" i="1"/>
  <c r="S30" i="1"/>
  <c r="R30" i="1"/>
  <c r="Q30" i="1"/>
  <c r="U24" i="1"/>
  <c r="T24" i="1"/>
  <c r="S24" i="1"/>
  <c r="R24" i="1"/>
  <c r="Q24" i="1"/>
  <c r="H23" i="1"/>
  <c r="L23" i="1"/>
  <c r="K23" i="1"/>
  <c r="J23" i="1"/>
  <c r="I23" i="1"/>
  <c r="M83" i="1"/>
  <c r="M153" i="1" s="1"/>
  <c r="M45" i="1"/>
  <c r="M40" i="1"/>
  <c r="F23" i="1"/>
  <c r="E23" i="1"/>
  <c r="G23" i="1"/>
  <c r="H55" i="1" l="1" a="1"/>
  <c r="H55" i="1" s="1"/>
  <c r="K48" i="1"/>
  <c r="H47" i="1"/>
  <c r="H74" i="1" s="1"/>
  <c r="I50" i="1"/>
  <c r="L54" i="1" a="1"/>
  <c r="L54" i="1" s="1"/>
  <c r="M47" i="1"/>
  <c r="M52" i="1" a="1"/>
  <c r="M52" i="1" s="1"/>
  <c r="L47" i="1"/>
  <c r="L52" i="1" a="1"/>
  <c r="L52" i="1" s="1"/>
  <c r="J47" i="1"/>
  <c r="K52" i="1" a="1"/>
  <c r="K52" i="1" s="1"/>
  <c r="I47" i="1"/>
  <c r="J52" i="1" a="1"/>
  <c r="J52" i="1" s="1"/>
  <c r="H49" i="1"/>
  <c r="I52" i="1" a="1"/>
  <c r="I52" i="1" s="1"/>
  <c r="H48" i="1"/>
  <c r="H56" i="1" a="1"/>
  <c r="H56" i="1" s="1"/>
  <c r="L53" i="1" a="1"/>
  <c r="L53" i="1" s="1"/>
  <c r="J48" i="1"/>
  <c r="I48" i="1"/>
  <c r="M56" i="1" a="1"/>
  <c r="M56" i="1" s="1"/>
  <c r="L49" i="1"/>
  <c r="K49" i="1"/>
  <c r="K56" i="1" a="1"/>
  <c r="K56" i="1" s="1"/>
  <c r="J49" i="1"/>
  <c r="K55" i="1" a="1"/>
  <c r="K55" i="1" s="1"/>
  <c r="M50" i="1"/>
  <c r="L50" i="1"/>
  <c r="I55" i="1" a="1"/>
  <c r="I55" i="1" s="1"/>
  <c r="M48" i="1"/>
  <c r="L48" i="1"/>
  <c r="K53" i="1" a="1"/>
  <c r="K53" i="1" s="1"/>
  <c r="J53" i="1" a="1"/>
  <c r="J53" i="1" s="1"/>
  <c r="I53" i="1" a="1"/>
  <c r="I53" i="1" s="1"/>
  <c r="M49" i="1"/>
  <c r="L56" i="1" a="1"/>
  <c r="L56" i="1" s="1"/>
  <c r="J56" i="1" a="1"/>
  <c r="J56" i="1" s="1"/>
  <c r="I49" i="1"/>
  <c r="J55" i="1" a="1"/>
  <c r="J55" i="1" s="1"/>
  <c r="K50" i="1"/>
  <c r="K54" i="1" a="1"/>
  <c r="K54" i="1" s="1"/>
  <c r="L55" i="1" a="1"/>
  <c r="L55" i="1" s="1"/>
  <c r="H54" i="1" a="1"/>
  <c r="H54" i="1" s="1"/>
  <c r="J50" i="1"/>
  <c r="K47" i="1"/>
  <c r="I54" i="1" a="1"/>
  <c r="I54" i="1" s="1"/>
  <c r="J54" i="1" a="1"/>
  <c r="J54" i="1" s="1"/>
  <c r="I56" i="1" a="1"/>
  <c r="I56" i="1" s="1"/>
  <c r="H53" i="1" a="1"/>
  <c r="H53" i="1" s="1"/>
  <c r="H52" i="1" a="1"/>
  <c r="H52" i="1" s="1"/>
  <c r="H50" i="1"/>
  <c r="M55" i="1" a="1"/>
  <c r="M55" i="1" s="1"/>
  <c r="M53" i="1" a="1"/>
  <c r="M53" i="1" s="1"/>
  <c r="G183" i="1"/>
  <c r="F183" i="1"/>
  <c r="E183" i="1"/>
  <c r="I182" i="1"/>
  <c r="J182" i="1" s="1"/>
  <c r="K182" i="1" s="1"/>
  <c r="L182" i="1" s="1"/>
  <c r="M182" i="1" s="1"/>
  <c r="I180" i="1"/>
  <c r="I179" i="1"/>
  <c r="J179" i="1" s="1"/>
  <c r="K179" i="1" s="1"/>
  <c r="L179" i="1" s="1"/>
  <c r="M179" i="1" s="1"/>
  <c r="I178" i="1"/>
  <c r="I177" i="1"/>
  <c r="J177" i="1" s="1"/>
  <c r="I173" i="1"/>
  <c r="J173" i="1" s="1"/>
  <c r="K173" i="1" s="1"/>
  <c r="L173" i="1" s="1"/>
  <c r="M173" i="1" s="1"/>
  <c r="F173" i="1"/>
  <c r="I172" i="1"/>
  <c r="J172" i="1" s="1"/>
  <c r="K172" i="1" s="1"/>
  <c r="L172" i="1" s="1"/>
  <c r="M172" i="1" s="1"/>
  <c r="I170" i="1"/>
  <c r="J170" i="1" s="1"/>
  <c r="K170" i="1" s="1"/>
  <c r="L170" i="1" s="1"/>
  <c r="M170" i="1" s="1"/>
  <c r="I169" i="1"/>
  <c r="J169" i="1" s="1"/>
  <c r="K169" i="1" s="1"/>
  <c r="L169" i="1" s="1"/>
  <c r="M169" i="1" s="1"/>
  <c r="G169" i="1"/>
  <c r="G174" i="1" s="1"/>
  <c r="F169" i="1"/>
  <c r="E169" i="1"/>
  <c r="E174" i="1" s="1"/>
  <c r="I168" i="1"/>
  <c r="J168" i="1" s="1"/>
  <c r="K168" i="1" s="1"/>
  <c r="G164" i="1"/>
  <c r="G163" i="1"/>
  <c r="G162" i="1"/>
  <c r="G161" i="1"/>
  <c r="G160" i="1"/>
  <c r="G159" i="1"/>
  <c r="G158" i="1"/>
  <c r="I156" i="1"/>
  <c r="J156" i="1" s="1"/>
  <c r="K156" i="1" s="1"/>
  <c r="L156" i="1" s="1"/>
  <c r="M156" i="1" s="1"/>
  <c r="I155" i="1"/>
  <c r="J155" i="1" s="1"/>
  <c r="K155" i="1" s="1"/>
  <c r="L155" i="1" s="1"/>
  <c r="M155" i="1" s="1"/>
  <c r="G154" i="1"/>
  <c r="G138" i="1" s="1"/>
  <c r="F154" i="1"/>
  <c r="E154" i="1"/>
  <c r="G153" i="1"/>
  <c r="G119" i="1" s="1"/>
  <c r="F153" i="1"/>
  <c r="E153" i="1"/>
  <c r="G152" i="1"/>
  <c r="F152" i="1"/>
  <c r="E152" i="1"/>
  <c r="F142" i="1"/>
  <c r="G141" i="1"/>
  <c r="H141" i="1" s="1"/>
  <c r="G139" i="1"/>
  <c r="H139" i="1" s="1"/>
  <c r="G137" i="1"/>
  <c r="H137" i="1" s="1"/>
  <c r="H133" i="1"/>
  <c r="I133" i="1" s="1"/>
  <c r="J133" i="1" s="1"/>
  <c r="K133" i="1" s="1"/>
  <c r="L133" i="1" s="1"/>
  <c r="M133" i="1" s="1"/>
  <c r="G128" i="1"/>
  <c r="G134" i="1" s="1"/>
  <c r="F128" i="1"/>
  <c r="F134" i="1" s="1"/>
  <c r="H120" i="1"/>
  <c r="I120" i="1" s="1"/>
  <c r="G118" i="1"/>
  <c r="H118" i="1" s="1"/>
  <c r="I118" i="1" s="1"/>
  <c r="J118" i="1" s="1"/>
  <c r="K118" i="1" s="1"/>
  <c r="L118" i="1" s="1"/>
  <c r="M118" i="1" s="1"/>
  <c r="G117" i="1"/>
  <c r="G116" i="1"/>
  <c r="H116" i="1" s="1"/>
  <c r="H112" i="1"/>
  <c r="G111" i="1"/>
  <c r="H111" i="1" s="1"/>
  <c r="H96" i="1"/>
  <c r="I96" i="1" s="1"/>
  <c r="J96" i="1" s="1"/>
  <c r="K96" i="1" s="1"/>
  <c r="L96" i="1" s="1"/>
  <c r="M96" i="1" s="1"/>
  <c r="I89" i="1"/>
  <c r="J89" i="1" s="1"/>
  <c r="K89" i="1" s="1"/>
  <c r="L89" i="1" s="1"/>
  <c r="M89" i="1" s="1"/>
  <c r="L83" i="1"/>
  <c r="L153" i="1" s="1"/>
  <c r="K83" i="1"/>
  <c r="K153" i="1" s="1"/>
  <c r="J83" i="1"/>
  <c r="J153" i="1" s="1"/>
  <c r="I83" i="1"/>
  <c r="I153" i="1" s="1"/>
  <c r="H83" i="1"/>
  <c r="H153" i="1" s="1"/>
  <c r="G79" i="1"/>
  <c r="G50" i="1" s="1"/>
  <c r="F79" i="1"/>
  <c r="F50" i="1" s="1"/>
  <c r="E79" i="1"/>
  <c r="E50" i="1" s="1"/>
  <c r="G78" i="1"/>
  <c r="G49" i="1" s="1"/>
  <c r="F78" i="1"/>
  <c r="E78" i="1"/>
  <c r="E49" i="1" s="1"/>
  <c r="G75" i="1"/>
  <c r="G76" i="1" s="1"/>
  <c r="F75" i="1"/>
  <c r="F76" i="1" s="1"/>
  <c r="E75" i="1"/>
  <c r="E76" i="1" s="1"/>
  <c r="G69" i="1"/>
  <c r="H69" i="1" s="1"/>
  <c r="F69" i="1"/>
  <c r="E69" i="1"/>
  <c r="G67" i="1"/>
  <c r="H67" i="1" s="1"/>
  <c r="F67" i="1"/>
  <c r="G66" i="1"/>
  <c r="H66" i="1" s="1"/>
  <c r="F66" i="1"/>
  <c r="F63" i="1"/>
  <c r="F64" i="1" s="1"/>
  <c r="F60" i="1"/>
  <c r="G58" i="1"/>
  <c r="G59" i="1" s="1"/>
  <c r="H59" i="1" s="1"/>
  <c r="F58" i="1"/>
  <c r="F59" i="1" s="1"/>
  <c r="G53" i="1"/>
  <c r="F53" i="1"/>
  <c r="E53" i="1"/>
  <c r="G52" i="1"/>
  <c r="F52" i="1"/>
  <c r="E52" i="1"/>
  <c r="F48" i="1"/>
  <c r="E48" i="1"/>
  <c r="G47" i="1"/>
  <c r="F47" i="1"/>
  <c r="E47" i="1"/>
  <c r="L45" i="1"/>
  <c r="K45" i="1"/>
  <c r="J45" i="1"/>
  <c r="I45" i="1"/>
  <c r="H45" i="1"/>
  <c r="L40" i="1"/>
  <c r="K40" i="1"/>
  <c r="J40" i="1"/>
  <c r="I40" i="1"/>
  <c r="H40" i="1"/>
  <c r="H35" i="1"/>
  <c r="E35" i="1"/>
  <c r="J36" i="1"/>
  <c r="H104" i="1"/>
  <c r="G72" i="1"/>
  <c r="F72" i="1"/>
  <c r="E72" i="1"/>
  <c r="F22" i="1"/>
  <c r="E22" i="1" s="1"/>
  <c r="D15" i="1"/>
  <c r="D12" i="1"/>
  <c r="D13" i="1" s="1"/>
  <c r="L11" i="1"/>
  <c r="D11" i="1"/>
  <c r="L10" i="1"/>
  <c r="H82" i="1" l="1"/>
  <c r="H152" i="1" s="1"/>
  <c r="H79" i="1"/>
  <c r="I139" i="1"/>
  <c r="H84" i="1"/>
  <c r="H154" i="1" s="1"/>
  <c r="H138" i="1" s="1"/>
  <c r="I74" i="1"/>
  <c r="I75" i="1" s="1"/>
  <c r="F174" i="1"/>
  <c r="I116" i="1"/>
  <c r="J116" i="1" s="1"/>
  <c r="K116" i="1" s="1"/>
  <c r="L116" i="1" s="1"/>
  <c r="M116" i="1" s="1"/>
  <c r="H119" i="1"/>
  <c r="I119" i="1" s="1"/>
  <c r="J119" i="1" s="1"/>
  <c r="K119" i="1" s="1"/>
  <c r="L119" i="1" s="1"/>
  <c r="M119" i="1" s="1"/>
  <c r="F80" i="1"/>
  <c r="F65" i="1" s="1"/>
  <c r="I111" i="1"/>
  <c r="J111" i="1" s="1"/>
  <c r="K111" i="1" s="1"/>
  <c r="L111" i="1" s="1"/>
  <c r="M111" i="1" s="1"/>
  <c r="F36" i="1"/>
  <c r="H127" i="1"/>
  <c r="I66" i="1"/>
  <c r="G48" i="1"/>
  <c r="G60" i="1"/>
  <c r="H60" i="1" s="1"/>
  <c r="I60" i="1" s="1"/>
  <c r="G80" i="1"/>
  <c r="G65" i="1" s="1"/>
  <c r="H65" i="1" s="1"/>
  <c r="I65" i="1" s="1"/>
  <c r="F49" i="1"/>
  <c r="G63" i="1"/>
  <c r="G64" i="1" s="1"/>
  <c r="H64" i="1" s="1"/>
  <c r="H63" i="1" s="1"/>
  <c r="E80" i="1"/>
  <c r="E86" i="1" s="1"/>
  <c r="G108" i="1"/>
  <c r="H108" i="1" s="1"/>
  <c r="I108" i="1" s="1"/>
  <c r="J108" i="1" s="1"/>
  <c r="K108" i="1" s="1"/>
  <c r="H58" i="1"/>
  <c r="H109" i="1" s="1"/>
  <c r="I59" i="1"/>
  <c r="F86" i="1"/>
  <c r="K149" i="1"/>
  <c r="K104" i="1"/>
  <c r="K72" i="1"/>
  <c r="H22" i="1"/>
  <c r="H149" i="1"/>
  <c r="H72" i="1"/>
  <c r="L149" i="1"/>
  <c r="L104" i="1"/>
  <c r="L72" i="1"/>
  <c r="G36" i="1"/>
  <c r="K36" i="1"/>
  <c r="H131" i="1"/>
  <c r="I67" i="1"/>
  <c r="L168" i="1"/>
  <c r="M168" i="1" s="1"/>
  <c r="J178" i="1"/>
  <c r="K178" i="1" s="1"/>
  <c r="L178" i="1" s="1"/>
  <c r="M178" i="1" s="1"/>
  <c r="I137" i="1"/>
  <c r="I141" i="1"/>
  <c r="J180" i="1"/>
  <c r="K180" i="1" s="1"/>
  <c r="L180" i="1" s="1"/>
  <c r="M180" i="1" s="1"/>
  <c r="I149" i="1"/>
  <c r="I72" i="1"/>
  <c r="I104" i="1"/>
  <c r="H36" i="1"/>
  <c r="L36" i="1"/>
  <c r="H171" i="1"/>
  <c r="I69" i="1"/>
  <c r="G149" i="1"/>
  <c r="G104" i="1"/>
  <c r="F149" i="1"/>
  <c r="F104" i="1"/>
  <c r="J149" i="1"/>
  <c r="J104" i="1"/>
  <c r="E36" i="1"/>
  <c r="I36" i="1"/>
  <c r="J72" i="1"/>
  <c r="E149" i="1"/>
  <c r="F144" i="1"/>
  <c r="H161" i="1"/>
  <c r="H75" i="1"/>
  <c r="H78" i="1"/>
  <c r="I112" i="1"/>
  <c r="H160" i="1"/>
  <c r="J120" i="1"/>
  <c r="J161" i="1" s="1"/>
  <c r="I161" i="1"/>
  <c r="K177" i="1"/>
  <c r="H80" i="1" l="1"/>
  <c r="H126" i="1" s="1"/>
  <c r="H164" i="1" s="1"/>
  <c r="L108" i="1"/>
  <c r="M108" i="1" s="1"/>
  <c r="M139" i="1"/>
  <c r="I76" i="1"/>
  <c r="I78" i="1"/>
  <c r="J74" i="1"/>
  <c r="I79" i="1"/>
  <c r="V48" i="1"/>
  <c r="V24" i="1"/>
  <c r="V30" i="1"/>
  <c r="M23" i="1"/>
  <c r="V36" i="1"/>
  <c r="V42" i="1"/>
  <c r="J141" i="1"/>
  <c r="K141" i="1" s="1"/>
  <c r="L141" i="1" s="1"/>
  <c r="M141" i="1" s="1"/>
  <c r="H110" i="1"/>
  <c r="H159" i="1" s="1"/>
  <c r="E99" i="1"/>
  <c r="E90" i="1"/>
  <c r="E98" i="1"/>
  <c r="I64" i="1"/>
  <c r="H76" i="1"/>
  <c r="H163" i="1"/>
  <c r="I127" i="1"/>
  <c r="J66" i="1"/>
  <c r="G86" i="1"/>
  <c r="J65" i="1"/>
  <c r="H125" i="1"/>
  <c r="H158" i="1"/>
  <c r="J112" i="1"/>
  <c r="J139" i="1"/>
  <c r="K139" i="1" s="1"/>
  <c r="L139" i="1" s="1"/>
  <c r="L177" i="1"/>
  <c r="M177" i="1" s="1"/>
  <c r="I160" i="1"/>
  <c r="I171" i="1"/>
  <c r="I174" i="1" s="1"/>
  <c r="J69" i="1"/>
  <c r="J137" i="1"/>
  <c r="I131" i="1"/>
  <c r="J67" i="1"/>
  <c r="I82" i="1"/>
  <c r="I152" i="1" s="1"/>
  <c r="F99" i="1"/>
  <c r="F98" i="1"/>
  <c r="F90" i="1"/>
  <c r="I110" i="1"/>
  <c r="J60" i="1"/>
  <c r="K120" i="1"/>
  <c r="H174" i="1"/>
  <c r="H117" i="1"/>
  <c r="I84" i="1"/>
  <c r="I154" i="1" s="1"/>
  <c r="I138" i="1" s="1"/>
  <c r="H181" i="1"/>
  <c r="I22" i="1"/>
  <c r="J59" i="1"/>
  <c r="I58" i="1"/>
  <c r="I109" i="1" s="1"/>
  <c r="H86" i="1" l="1"/>
  <c r="H98" i="1" s="1"/>
  <c r="E56" i="1"/>
  <c r="E93" i="1"/>
  <c r="I63" i="1"/>
  <c r="I125" i="1" s="1"/>
  <c r="I162" i="1" s="1"/>
  <c r="J64" i="1"/>
  <c r="K74" i="1"/>
  <c r="J75" i="1"/>
  <c r="I117" i="1"/>
  <c r="I80" i="1"/>
  <c r="I159" i="1"/>
  <c r="M72" i="1"/>
  <c r="M149" i="1"/>
  <c r="M104" i="1"/>
  <c r="M36" i="1"/>
  <c r="J78" i="1"/>
  <c r="J79" i="1"/>
  <c r="I163" i="1"/>
  <c r="G99" i="1"/>
  <c r="G98" i="1"/>
  <c r="G90" i="1"/>
  <c r="K66" i="1"/>
  <c r="J127" i="1"/>
  <c r="J84" i="1"/>
  <c r="J154" i="1" s="1"/>
  <c r="J138" i="1" s="1"/>
  <c r="L120" i="1"/>
  <c r="F93" i="1"/>
  <c r="F56" i="1"/>
  <c r="J82" i="1"/>
  <c r="J152" i="1" s="1"/>
  <c r="K112" i="1"/>
  <c r="K160" i="1" s="1"/>
  <c r="K65" i="1"/>
  <c r="K59" i="1"/>
  <c r="J58" i="1"/>
  <c r="J109" i="1" s="1"/>
  <c r="J158" i="1" s="1"/>
  <c r="K161" i="1"/>
  <c r="K67" i="1"/>
  <c r="J131" i="1"/>
  <c r="K137" i="1"/>
  <c r="J63" i="1"/>
  <c r="K64" i="1"/>
  <c r="K60" i="1"/>
  <c r="I181" i="1"/>
  <c r="I183" i="1" s="1"/>
  <c r="J22" i="1"/>
  <c r="I158" i="1"/>
  <c r="H183" i="1"/>
  <c r="H132" i="1"/>
  <c r="E95" i="1"/>
  <c r="E30" i="1" s="1"/>
  <c r="E151" i="1"/>
  <c r="E165" i="1" s="1"/>
  <c r="J171" i="1"/>
  <c r="J174" i="1" s="1"/>
  <c r="K69" i="1"/>
  <c r="J160" i="1"/>
  <c r="H128" i="1"/>
  <c r="H162" i="1"/>
  <c r="H99" i="1" l="1"/>
  <c r="K78" i="1"/>
  <c r="K75" i="1"/>
  <c r="L74" i="1"/>
  <c r="K79" i="1"/>
  <c r="J125" i="1"/>
  <c r="J162" i="1" s="1"/>
  <c r="J76" i="1"/>
  <c r="J110" i="1"/>
  <c r="J159" i="1" s="1"/>
  <c r="J163" i="1"/>
  <c r="I126" i="1"/>
  <c r="I86" i="1"/>
  <c r="L161" i="1"/>
  <c r="M120" i="1"/>
  <c r="M161" i="1" s="1"/>
  <c r="J80" i="1"/>
  <c r="H134" i="1"/>
  <c r="K127" i="1"/>
  <c r="L66" i="1"/>
  <c r="G93" i="1"/>
  <c r="G56" i="1"/>
  <c r="E100" i="1"/>
  <c r="E29" i="1" s="1"/>
  <c r="E185" i="1"/>
  <c r="L137" i="1"/>
  <c r="M137" i="1" s="1"/>
  <c r="L60" i="1"/>
  <c r="M60" i="1" s="1"/>
  <c r="L64" i="1"/>
  <c r="K63" i="1"/>
  <c r="L112" i="1"/>
  <c r="K171" i="1"/>
  <c r="K174" i="1" s="1"/>
  <c r="L69" i="1"/>
  <c r="J181" i="1"/>
  <c r="J183" i="1" s="1"/>
  <c r="K22" i="1"/>
  <c r="L22" i="1" s="1"/>
  <c r="M22" i="1" s="1"/>
  <c r="M181" i="1" s="1"/>
  <c r="M183" i="1" s="1"/>
  <c r="K131" i="1"/>
  <c r="L67" i="1"/>
  <c r="L59" i="1"/>
  <c r="K58" i="1"/>
  <c r="K109" i="1" s="1"/>
  <c r="F151" i="1"/>
  <c r="F165" i="1" s="1"/>
  <c r="F95" i="1"/>
  <c r="F30" i="1" s="1"/>
  <c r="K84" i="1"/>
  <c r="K154" i="1" s="1"/>
  <c r="K138" i="1" s="1"/>
  <c r="I132" i="1"/>
  <c r="H88" i="1"/>
  <c r="H90" i="1" s="1"/>
  <c r="J117" i="1"/>
  <c r="L65" i="1"/>
  <c r="K82" i="1"/>
  <c r="K80" i="1" l="1"/>
  <c r="K126" i="1" s="1"/>
  <c r="K125" i="1"/>
  <c r="L78" i="1"/>
  <c r="L75" i="1"/>
  <c r="K76" i="1"/>
  <c r="K110" i="1"/>
  <c r="K159" i="1" s="1"/>
  <c r="M74" i="1"/>
  <c r="L79" i="1"/>
  <c r="I164" i="1"/>
  <c r="I128" i="1"/>
  <c r="I134" i="1" s="1"/>
  <c r="I99" i="1"/>
  <c r="I98" i="1"/>
  <c r="J126" i="1"/>
  <c r="J86" i="1"/>
  <c r="M65" i="1"/>
  <c r="L84" i="1"/>
  <c r="L154" i="1" s="1"/>
  <c r="L138" i="1" s="1"/>
  <c r="L160" i="1"/>
  <c r="M112" i="1"/>
  <c r="M160" i="1" s="1"/>
  <c r="L171" i="1"/>
  <c r="L174" i="1" s="1"/>
  <c r="M69" i="1"/>
  <c r="L131" i="1"/>
  <c r="M67" i="1"/>
  <c r="K163" i="1"/>
  <c r="L127" i="1"/>
  <c r="M66" i="1"/>
  <c r="L82" i="1"/>
  <c r="L152" i="1" s="1"/>
  <c r="L63" i="1"/>
  <c r="M64" i="1"/>
  <c r="M63" i="1" s="1"/>
  <c r="L58" i="1"/>
  <c r="L109" i="1" s="1"/>
  <c r="L158" i="1" s="1"/>
  <c r="M59" i="1"/>
  <c r="M58" i="1" s="1"/>
  <c r="G95" i="1"/>
  <c r="G30" i="1" s="1"/>
  <c r="G151" i="1"/>
  <c r="G165" i="1" s="1"/>
  <c r="G140" i="1"/>
  <c r="G142" i="1" s="1"/>
  <c r="G144" i="1" s="1"/>
  <c r="H91" i="1"/>
  <c r="H93" i="1" s="1"/>
  <c r="K158" i="1"/>
  <c r="K152" i="1"/>
  <c r="K117" i="1" s="1"/>
  <c r="J132" i="1"/>
  <c r="F100" i="1"/>
  <c r="F29" i="1" s="1"/>
  <c r="F185" i="1"/>
  <c r="F186" i="1" s="1"/>
  <c r="F107" i="1" s="1"/>
  <c r="K181" i="1"/>
  <c r="K183" i="1" s="1"/>
  <c r="L181" i="1"/>
  <c r="L183" i="1" s="1"/>
  <c r="I88" i="1"/>
  <c r="I90" i="1" s="1"/>
  <c r="K86" i="1" l="1"/>
  <c r="K98" i="1" s="1"/>
  <c r="L80" i="1"/>
  <c r="L126" i="1" s="1"/>
  <c r="M171" i="1"/>
  <c r="M174" i="1" s="1"/>
  <c r="M131" i="1"/>
  <c r="M127" i="1"/>
  <c r="M82" i="1"/>
  <c r="M152" i="1" s="1"/>
  <c r="M84" i="1"/>
  <c r="M154" i="1" s="1"/>
  <c r="M138" i="1" s="1"/>
  <c r="M109" i="1"/>
  <c r="M158" i="1" s="1"/>
  <c r="L76" i="1"/>
  <c r="L110" i="1"/>
  <c r="L159" i="1" s="1"/>
  <c r="L125" i="1"/>
  <c r="L162" i="1" s="1"/>
  <c r="K162" i="1"/>
  <c r="K128" i="1"/>
  <c r="M79" i="1"/>
  <c r="M75" i="1"/>
  <c r="M78" i="1"/>
  <c r="L163" i="1"/>
  <c r="J164" i="1"/>
  <c r="K164" i="1"/>
  <c r="J128" i="1"/>
  <c r="J134" i="1" s="1"/>
  <c r="J98" i="1"/>
  <c r="J99" i="1"/>
  <c r="J88" i="1"/>
  <c r="J90" i="1" s="1"/>
  <c r="J91" i="1" s="1"/>
  <c r="J93" i="1" s="1"/>
  <c r="G100" i="1"/>
  <c r="G29" i="1" s="1"/>
  <c r="G185" i="1"/>
  <c r="G186" i="1" s="1"/>
  <c r="G107" i="1" s="1"/>
  <c r="L117" i="1"/>
  <c r="H95" i="1"/>
  <c r="H30" i="1" s="1"/>
  <c r="H151" i="1"/>
  <c r="H165" i="1" s="1"/>
  <c r="H140" i="1"/>
  <c r="I91" i="1"/>
  <c r="I93" i="1" s="1"/>
  <c r="F113" i="1"/>
  <c r="F121" i="1" s="1"/>
  <c r="K132" i="1"/>
  <c r="K88" i="1" s="1"/>
  <c r="K90" i="1" l="1"/>
  <c r="K91" i="1" s="1"/>
  <c r="K93" i="1" s="1"/>
  <c r="K99" i="1"/>
  <c r="M163" i="1"/>
  <c r="M80" i="1"/>
  <c r="M126" i="1" s="1"/>
  <c r="M164" i="1" s="1"/>
  <c r="L86" i="1"/>
  <c r="M117" i="1"/>
  <c r="L164" i="1"/>
  <c r="L128" i="1"/>
  <c r="M125" i="1"/>
  <c r="M76" i="1"/>
  <c r="M110" i="1"/>
  <c r="M159" i="1" s="1"/>
  <c r="J151" i="1"/>
  <c r="J165" i="1" s="1"/>
  <c r="J95" i="1"/>
  <c r="J30" i="1" s="1"/>
  <c r="I151" i="1"/>
  <c r="I165" i="1" s="1"/>
  <c r="I95" i="1"/>
  <c r="I30" i="1" s="1"/>
  <c r="L132" i="1"/>
  <c r="K134" i="1"/>
  <c r="I140" i="1"/>
  <c r="H142" i="1"/>
  <c r="H144" i="1" s="1"/>
  <c r="H100" i="1"/>
  <c r="H185" i="1"/>
  <c r="H186" i="1" s="1"/>
  <c r="H107" i="1" s="1"/>
  <c r="F101" i="1"/>
  <c r="F31" i="1" s="1"/>
  <c r="F146" i="1"/>
  <c r="G113" i="1"/>
  <c r="G121" i="1" s="1"/>
  <c r="D14" i="1"/>
  <c r="D19" i="1" s="1"/>
  <c r="M86" i="1" l="1"/>
  <c r="L99" i="1"/>
  <c r="L27" i="1" s="1"/>
  <c r="L98" i="1"/>
  <c r="L26" i="1" s="1"/>
  <c r="M162" i="1"/>
  <c r="M128" i="1"/>
  <c r="M99" i="1"/>
  <c r="M27" i="1" s="1"/>
  <c r="M98" i="1"/>
  <c r="M26" i="1" s="1"/>
  <c r="H29" i="1"/>
  <c r="L134" i="1"/>
  <c r="M132" i="1"/>
  <c r="M25" i="1"/>
  <c r="H113" i="1"/>
  <c r="H121" i="1" s="1"/>
  <c r="K151" i="1"/>
  <c r="K165" i="1" s="1"/>
  <c r="K95" i="1"/>
  <c r="K30" i="1" s="1"/>
  <c r="L88" i="1"/>
  <c r="L90" i="1" s="1"/>
  <c r="J27" i="1"/>
  <c r="F27" i="1"/>
  <c r="J26" i="1"/>
  <c r="F26" i="1"/>
  <c r="J25" i="1"/>
  <c r="F25" i="1"/>
  <c r="G27" i="1"/>
  <c r="K25" i="1"/>
  <c r="I27" i="1"/>
  <c r="E27" i="1"/>
  <c r="I26" i="1"/>
  <c r="E26" i="1"/>
  <c r="I25" i="1"/>
  <c r="E25" i="1"/>
  <c r="K27" i="1"/>
  <c r="G26" i="1"/>
  <c r="G25" i="1"/>
  <c r="H27" i="1"/>
  <c r="H26" i="1"/>
  <c r="L25" i="1"/>
  <c r="H25" i="1"/>
  <c r="K26" i="1"/>
  <c r="J140" i="1"/>
  <c r="I142" i="1"/>
  <c r="I144" i="1" s="1"/>
  <c r="G146" i="1"/>
  <c r="G101" i="1"/>
  <c r="G31" i="1" s="1"/>
  <c r="I100" i="1"/>
  <c r="I185" i="1"/>
  <c r="I186" i="1" s="1"/>
  <c r="I107" i="1" s="1"/>
  <c r="J100" i="1"/>
  <c r="J29" i="1" s="1"/>
  <c r="J185" i="1"/>
  <c r="I29" i="1" l="1"/>
  <c r="M88" i="1"/>
  <c r="M90" i="1" s="1"/>
  <c r="M134" i="1"/>
  <c r="J186" i="1"/>
  <c r="J107" i="1" s="1"/>
  <c r="I113" i="1"/>
  <c r="I121" i="1" s="1"/>
  <c r="K140" i="1"/>
  <c r="J142" i="1"/>
  <c r="J144" i="1" s="1"/>
  <c r="K100" i="1"/>
  <c r="K185" i="1"/>
  <c r="L91" i="1"/>
  <c r="L93" i="1" s="1"/>
  <c r="H101" i="1"/>
  <c r="H31" i="1" s="1"/>
  <c r="H146" i="1"/>
  <c r="K29" i="1" l="1"/>
  <c r="M91" i="1"/>
  <c r="M93" i="1" s="1"/>
  <c r="L151" i="1"/>
  <c r="L165" i="1" s="1"/>
  <c r="L95" i="1"/>
  <c r="L30" i="1" s="1"/>
  <c r="L140" i="1"/>
  <c r="K142" i="1"/>
  <c r="K144" i="1" s="1"/>
  <c r="I146" i="1"/>
  <c r="I101" i="1"/>
  <c r="I31" i="1" s="1"/>
  <c r="J113" i="1"/>
  <c r="J121" i="1" s="1"/>
  <c r="K186" i="1"/>
  <c r="K107" i="1" s="1"/>
  <c r="L142" i="1" l="1"/>
  <c r="L144" i="1" s="1"/>
  <c r="M140" i="1"/>
  <c r="M142" i="1" s="1"/>
  <c r="M144" i="1" s="1"/>
  <c r="M95" i="1"/>
  <c r="M30" i="1" s="1"/>
  <c r="M151" i="1"/>
  <c r="M165" i="1" s="1"/>
  <c r="K113" i="1"/>
  <c r="K121" i="1" s="1"/>
  <c r="J101" i="1"/>
  <c r="J31" i="1" s="1"/>
  <c r="J146" i="1"/>
  <c r="L100" i="1"/>
  <c r="L185" i="1"/>
  <c r="L186" i="1" s="1"/>
  <c r="L107" i="1" s="1"/>
  <c r="L113" i="1" s="1"/>
  <c r="L121" i="1" s="1"/>
  <c r="L29" i="1" l="1"/>
  <c r="M100" i="1"/>
  <c r="K17" i="1" s="1"/>
  <c r="M185" i="1"/>
  <c r="M186" i="1" s="1"/>
  <c r="M107" i="1" s="1"/>
  <c r="M113" i="1" s="1"/>
  <c r="M121" i="1" s="1"/>
  <c r="L146" i="1"/>
  <c r="L101" i="1"/>
  <c r="L31" i="1" s="1"/>
  <c r="K146" i="1"/>
  <c r="K101" i="1"/>
  <c r="K31" i="1" s="1"/>
  <c r="M29" i="1" l="1"/>
  <c r="L17" i="1"/>
  <c r="M146" i="1"/>
  <c r="M101" i="1"/>
  <c r="M3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McDonald</author>
    <author>Michael Nugent</author>
  </authors>
  <commentList>
    <comment ref="J11" authorId="0" shapeId="0" xr:uid="{00000000-0006-0000-0100-000001000000}">
      <text>
        <r>
          <rPr>
            <b/>
            <sz val="9"/>
            <color rgb="FF000000"/>
            <rFont val="Tahoma"/>
            <family val="2"/>
          </rPr>
          <t>Michael McDonald:</t>
        </r>
        <r>
          <rPr>
            <sz val="9"/>
            <color rgb="FF000000"/>
            <rFont val="Tahoma"/>
            <family val="2"/>
          </rPr>
          <t xml:space="preserve">
</t>
        </r>
        <r>
          <rPr>
            <sz val="9"/>
            <color rgb="FF000000"/>
            <rFont val="Tahoma"/>
            <family val="2"/>
          </rPr>
          <t xml:space="preserve">1 = Top Down
</t>
        </r>
        <r>
          <rPr>
            <sz val="9"/>
            <color rgb="FF000000"/>
            <rFont val="Tahoma"/>
            <family val="2"/>
          </rPr>
          <t xml:space="preserve">2 = Bottom Up
</t>
        </r>
        <r>
          <rPr>
            <sz val="9"/>
            <color rgb="FF000000"/>
            <rFont val="Tahoma"/>
            <family val="2"/>
          </rPr>
          <t>3 = CAGR</t>
        </r>
      </text>
    </comment>
    <comment ref="K14" authorId="1" shapeId="0" xr:uid="{00000000-0006-0000-0100-000003000000}">
      <text>
        <r>
          <rPr>
            <b/>
            <sz val="9"/>
            <color rgb="FF000000"/>
            <rFont val="Tahoma"/>
            <family val="2"/>
          </rPr>
          <t>Andres Duarte:</t>
        </r>
        <r>
          <rPr>
            <sz val="9"/>
            <color rgb="FF000000"/>
            <rFont val="Tahoma"/>
            <family val="2"/>
          </rPr>
          <t xml:space="preserve">
</t>
        </r>
        <r>
          <rPr>
            <sz val="10.5"/>
            <color rgb="FF000000"/>
            <rFont val="Tahoma"/>
            <family val="2"/>
          </rPr>
          <t>We found it best to use the Data Validation for the charts on Dashboard.</t>
        </r>
      </text>
    </comment>
    <comment ref="J16" authorId="1" shapeId="0" xr:uid="{00000000-0006-0000-0100-000004000000}">
      <text>
        <r>
          <rPr>
            <b/>
            <sz val="9"/>
            <color rgb="FF000000"/>
            <rFont val="Tahoma"/>
            <family val="2"/>
          </rPr>
          <t>Michael Nugent:</t>
        </r>
        <r>
          <rPr>
            <sz val="9"/>
            <color rgb="FF000000"/>
            <rFont val="Tahoma"/>
            <family val="2"/>
          </rPr>
          <t xml:space="preserve">
Comment:
Use the Interest rate in Cell L8
 to calculate NPV and IRR. Use Leveraged Free Cash Flow from Row 100.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<sst xmlns="http://schemas.openxmlformats.org/spreadsheetml/2006/main" count="319" uniqueCount="175">
  <si>
    <t>($ in Millions, Except Per Share Amounts in Dollars and Share Counts in Thousands)</t>
  </si>
  <si>
    <t>Assumptions &amp; Valuation Overview</t>
  </si>
  <si>
    <t>Days in Year:</t>
  </si>
  <si>
    <t>Valuation Date:</t>
  </si>
  <si>
    <t>Last Historical Year:</t>
  </si>
  <si>
    <t>Debt Amount:</t>
  </si>
  <si>
    <t>Company Name:</t>
  </si>
  <si>
    <t>Acme Inc.</t>
  </si>
  <si>
    <t>Debt Issue Date:</t>
  </si>
  <si>
    <t>Tax Rate:</t>
  </si>
  <si>
    <t>Share Price:</t>
  </si>
  <si>
    <t>Share Units:</t>
  </si>
  <si>
    <t>Interest Rate:</t>
  </si>
  <si>
    <t>Annual Rate Change:</t>
  </si>
  <si>
    <t>Basic Shares Outstanding:</t>
  </si>
  <si>
    <t>Options Calculations:</t>
  </si>
  <si>
    <t>CAGR</t>
  </si>
  <si>
    <t>Basic Equity Value:</t>
  </si>
  <si>
    <t>Forecast Method</t>
  </si>
  <si>
    <t>Diluted Shares Outstanding:</t>
  </si>
  <si>
    <t>Diluted Equity Value:</t>
  </si>
  <si>
    <t>Scenario</t>
  </si>
  <si>
    <t>Less: Cash &amp; Investments</t>
  </si>
  <si>
    <t>Plus: Debt</t>
  </si>
  <si>
    <t>Plus: Minority Interest</t>
  </si>
  <si>
    <t>NPV</t>
  </si>
  <si>
    <t>IRR</t>
  </si>
  <si>
    <t>Plus: Preferred Stock</t>
  </si>
  <si>
    <t xml:space="preserve">Scenario </t>
  </si>
  <si>
    <t>Plus: Other Liabilities</t>
  </si>
  <si>
    <t>Enterprise Value:</t>
  </si>
  <si>
    <t>Historical</t>
  </si>
  <si>
    <t>Projections</t>
  </si>
  <si>
    <t>Scenario 1</t>
  </si>
  <si>
    <t>EV / Revenue:</t>
  </si>
  <si>
    <t>Revenue Growth %:</t>
  </si>
  <si>
    <t>EV / EBIT:</t>
  </si>
  <si>
    <t>COGS % Revenue:</t>
  </si>
  <si>
    <t>EV / EBITDA:</t>
  </si>
  <si>
    <t>R&amp;D % Revenue:</t>
  </si>
  <si>
    <t>SG&amp;A % Revenue:</t>
  </si>
  <si>
    <t>Equity Value / FCF:</t>
  </si>
  <si>
    <t>P / E:</t>
  </si>
  <si>
    <t>Scenario 2</t>
  </si>
  <si>
    <t>P / BV:</t>
  </si>
  <si>
    <t>Operating Assumptions</t>
  </si>
  <si>
    <t>Scenario 3</t>
  </si>
  <si>
    <t>Total Market Sales</t>
  </si>
  <si>
    <t>Market Share Growth</t>
  </si>
  <si>
    <t>Order Value Growth</t>
  </si>
  <si>
    <t>Top Down Growth Rate</t>
  </si>
  <si>
    <t>Prospect Traffic Growth</t>
  </si>
  <si>
    <t>Conversion Rate Growth</t>
  </si>
  <si>
    <t>Price Growth</t>
  </si>
  <si>
    <t>Bottom Up Growth Rate</t>
  </si>
  <si>
    <t>Stock-Based Compensation % Revenue:</t>
  </si>
  <si>
    <t>Depreciation &amp; Amortization % Revenue:</t>
  </si>
  <si>
    <t>Effective Cash Interest Rate:</t>
  </si>
  <si>
    <t>Debt Interest Rate:</t>
  </si>
  <si>
    <t>Effective Tax Rate:</t>
  </si>
  <si>
    <t>Accounts Receivable % Revenue:</t>
  </si>
  <si>
    <t>Accounts Receivable Days:</t>
  </si>
  <si>
    <t>Inventory % COGS:</t>
  </si>
  <si>
    <t>Amortization of Intangibles:</t>
  </si>
  <si>
    <t>Accounts Payable % COGS:</t>
  </si>
  <si>
    <t>Accounts Payable Days:</t>
  </si>
  <si>
    <t>Accrued Expenses % Operating Expenses:</t>
  </si>
  <si>
    <t>Short-Term Deferred Revenue % Revenue:</t>
  </si>
  <si>
    <t>Long-Term Deferred Revenue % Revenue:</t>
  </si>
  <si>
    <t>CapEx % Revenue:</t>
  </si>
  <si>
    <t>Income Statement</t>
  </si>
  <si>
    <t>Revenue:</t>
  </si>
  <si>
    <t>Cost of Goods Sold:</t>
  </si>
  <si>
    <t>Gross Profit:</t>
  </si>
  <si>
    <t>Operating Expenses:</t>
  </si>
  <si>
    <t>Research &amp; Development:</t>
  </si>
  <si>
    <t>Selling, General &amp; Administrative:</t>
  </si>
  <si>
    <t>Total Operating Expenses:</t>
  </si>
  <si>
    <t>Depreciation &amp; Amortization of PP&amp;E:</t>
  </si>
  <si>
    <t>Stock-Based Compensation:</t>
  </si>
  <si>
    <t>Operating Income:</t>
  </si>
  <si>
    <t>Interest Income:</t>
  </si>
  <si>
    <t>Interest Expense:</t>
  </si>
  <si>
    <t>Other Income &amp; Expense:</t>
  </si>
  <si>
    <t>Pre-Tax Income:</t>
  </si>
  <si>
    <t>Income Tax Provision:</t>
  </si>
  <si>
    <t>Net Income:</t>
  </si>
  <si>
    <t>Earnings Per Share (EPS):</t>
  </si>
  <si>
    <t>EBIT:</t>
  </si>
  <si>
    <t>EBITDA:</t>
  </si>
  <si>
    <t>Levered Free Cash Flow:</t>
  </si>
  <si>
    <t>Book Value Per Share (BV):</t>
  </si>
  <si>
    <t>Balance Sheet</t>
  </si>
  <si>
    <t>Assets:</t>
  </si>
  <si>
    <t>Current Assets:</t>
  </si>
  <si>
    <t>Cash &amp; Cash-Equivalents:</t>
  </si>
  <si>
    <t>Short-Term Securities:</t>
  </si>
  <si>
    <t>Accounts Receivable:</t>
  </si>
  <si>
    <t>Inventory:</t>
  </si>
  <si>
    <t>Deferred Tax Assets:</t>
  </si>
  <si>
    <t>Other Current Assets:</t>
  </si>
  <si>
    <t>Total Current Assets:</t>
  </si>
  <si>
    <t>Long-Term Assets:</t>
  </si>
  <si>
    <t>Long-Term Securities:</t>
  </si>
  <si>
    <t>Plants, Property &amp; Equipment:</t>
  </si>
  <si>
    <t>Goodwill:</t>
  </si>
  <si>
    <t>Other Intangible Assets:</t>
  </si>
  <si>
    <t>Other Assets:</t>
  </si>
  <si>
    <t>Total Assets:</t>
  </si>
  <si>
    <t>Liabilities &amp; Shareholders' Equity:</t>
  </si>
  <si>
    <t>Current Liabilities:</t>
  </si>
  <si>
    <t>Accounts Payable:</t>
  </si>
  <si>
    <t>Accrued Expenses:</t>
  </si>
  <si>
    <t>Deferred Revenue:</t>
  </si>
  <si>
    <t>Total Current Liabilities:</t>
  </si>
  <si>
    <t>Long-Term Liabilities:</t>
  </si>
  <si>
    <t>Long-Term Debt:</t>
  </si>
  <si>
    <t>Other Long-Term Liabilities:</t>
  </si>
  <si>
    <t>Total Liabilities:</t>
  </si>
  <si>
    <t>Shareholders' Equity:</t>
  </si>
  <si>
    <t>Common Stock:</t>
  </si>
  <si>
    <t>Additional Paid-In Capital:</t>
  </si>
  <si>
    <t>Treasury Stock:</t>
  </si>
  <si>
    <t>Retained Earnings:</t>
  </si>
  <si>
    <t>Accumulated Other Comprehensive Income:</t>
  </si>
  <si>
    <t>Total Shareholders' Equity:</t>
  </si>
  <si>
    <t>Total Liabilities &amp; SE:</t>
  </si>
  <si>
    <t>BALANCE CHECK:</t>
  </si>
  <si>
    <t>Cash Flow Statement</t>
  </si>
  <si>
    <t>Operating Activities:</t>
  </si>
  <si>
    <t>Deferred Income Tax Expense:</t>
  </si>
  <si>
    <t>Loss on PP&amp;E:</t>
  </si>
  <si>
    <t>Changes in Operating Assets &amp; Liabilities:</t>
  </si>
  <si>
    <t>Other Liabilities:</t>
  </si>
  <si>
    <t>Cash Flow from Operations:</t>
  </si>
  <si>
    <t>Investing Activities:</t>
  </si>
  <si>
    <t>Purchases of Securities:</t>
  </si>
  <si>
    <t>Proceeds from Maturities &amp; Sales:</t>
  </si>
  <si>
    <t>Purchases of LT Investments:</t>
  </si>
  <si>
    <t>Capital Expenditures:</t>
  </si>
  <si>
    <t>Acquisition of Intangibles:</t>
  </si>
  <si>
    <t>Other:</t>
  </si>
  <si>
    <t>Cash Flow from Investing:</t>
  </si>
  <si>
    <t>Financing Activities:</t>
  </si>
  <si>
    <t>Proceeds from Common Stock:</t>
  </si>
  <si>
    <t>Common Stock Repurchased:</t>
  </si>
  <si>
    <t>Dividends Issued:</t>
  </si>
  <si>
    <t>Tax Benefits from Stock-Based Comp:</t>
  </si>
  <si>
    <t>Raise / (Pay Off) Long-Term Debt</t>
  </si>
  <si>
    <t>Cash Used for Equity Awards:</t>
  </si>
  <si>
    <t>Cash Flow from Financing:</t>
  </si>
  <si>
    <t>Increase / Decrease in Cash:</t>
  </si>
  <si>
    <t>Cash &amp; Cash Equivalents:</t>
  </si>
  <si>
    <t>Financial Model Scenario Analysis</t>
  </si>
  <si>
    <t>INVESTMENT</t>
  </si>
  <si>
    <t xml:space="preserve">YEAR 0 </t>
  </si>
  <si>
    <t>YEAR 1</t>
  </si>
  <si>
    <t>YEAR 2</t>
  </si>
  <si>
    <t>YEAR 3</t>
  </si>
  <si>
    <t>YEAR 4</t>
  </si>
  <si>
    <t>YEAR 5</t>
  </si>
  <si>
    <t>YEAR 6</t>
  </si>
  <si>
    <t>YEAR 7</t>
  </si>
  <si>
    <t>YEAR 8</t>
  </si>
  <si>
    <t>Scenario Information</t>
  </si>
  <si>
    <t>DASHBOARD AREA</t>
  </si>
  <si>
    <t>Scenario 4</t>
  </si>
  <si>
    <t>FY 2020E</t>
  </si>
  <si>
    <t>FY 2021E</t>
  </si>
  <si>
    <t>FY 2022E</t>
  </si>
  <si>
    <t>FY 2023E</t>
  </si>
  <si>
    <t>FY 2024E</t>
  </si>
  <si>
    <t>FY 2025E</t>
  </si>
  <si>
    <t>&lt;-Scenario</t>
  </si>
  <si>
    <t>Senario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</si>
</sst>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6" formatCode="&quot;$&quot;#,##0_);[Red]\(&quot;$&quot;#,##0\)"/>
    <numFmt numFmtId="8" formatCode="&quot;$&quot;#,##0.00_);[Red]\(&quot;$&quot;#,##0.00\)"/>
    <numFmt numFmtId="44" formatCode="_(&quot;$&quot;* #,##0.00_);_(&quot;$&quot;* \(#,##0.00\);_(&quot;$&quot;* &quot;-&quot;??_);_(@_)"/>
    <numFmt numFmtId="164" formatCode="0.0\ \x"/>
    <numFmt numFmtId="165" formatCode="0.0%"/>
    <numFmt numFmtId="166" formatCode="#,##0.0"/>
    <numFmt numFmtId="167" formatCode="&quot;$&quot;#,##0"/>
    <numFmt numFmtId="168" formatCode="0.0%;[Red]\(0.0%\)"/>
    <numFmt numFmtId="169" formatCode="&quot;$&quot;#,##0.000_);[Red]\(&quot;$&quot;#,##0.000\)"/>
  </numFmts>
  <fonts count="39" x14ac:knownFonts="1">
    <font>
      <sz val="12"/>
      <color theme="1"/>
      <name val="Calibri"/>
      <family val="2"/>
      <scheme val="minor"/>
    </font>
    <font>
      <sz val="11"/>
      <color theme="1"/>
      <name val="Calibri"/>
      <family val="2"/>
      <scheme val="minor"/>
    </font>
    <font>
      <sz val="12"/>
      <color theme="1"/>
      <name val="Calibri"/>
      <family val="2"/>
      <scheme val="minor"/>
    </font>
    <font>
      <b/>
      <sz val="11"/>
      <color theme="1"/>
      <name val="Calibri"/>
      <family val="2"/>
      <scheme val="minor"/>
    </font>
    <font>
      <b/>
      <sz val="9"/>
      <color rgb="FF000000"/>
      <name val="Tahoma"/>
      <family val="2"/>
    </font>
    <font>
      <sz val="9"/>
      <color rgb="FF000000"/>
      <name val="Tahoma"/>
      <family val="2"/>
    </font>
    <font>
      <b/>
      <sz val="11"/>
      <color indexed="9"/>
      <name val="Calibri"/>
      <family val="2"/>
      <scheme val="minor"/>
    </font>
    <font>
      <b/>
      <u/>
      <sz val="10"/>
      <color indexed="9"/>
      <name val="Arial"/>
      <family val="2"/>
    </font>
    <font>
      <u/>
      <sz val="10"/>
      <color indexed="9"/>
      <name val="Arial"/>
      <family val="2"/>
    </font>
    <font>
      <sz val="11"/>
      <color theme="4"/>
      <name val="Calibri"/>
      <family val="2"/>
      <scheme val="minor"/>
    </font>
    <font>
      <sz val="11"/>
      <name val="Calibri"/>
      <family val="2"/>
      <scheme val="minor"/>
    </font>
    <font>
      <sz val="11"/>
      <color theme="3" tint="0.39997558519241921"/>
      <name val="Calibri"/>
      <family val="2"/>
      <scheme val="minor"/>
    </font>
    <font>
      <sz val="16"/>
      <color theme="1"/>
      <name val="Calibri"/>
      <family val="2"/>
      <scheme val="minor"/>
    </font>
    <font>
      <b/>
      <sz val="11"/>
      <name val="Calibri"/>
      <family val="2"/>
      <scheme val="minor"/>
    </font>
    <font>
      <sz val="10"/>
      <name val="Arial"/>
      <family val="2"/>
    </font>
    <font>
      <sz val="11"/>
      <name val="Calibri"/>
      <family val="2"/>
    </font>
    <font>
      <i/>
      <sz val="11"/>
      <name val="Calibri"/>
      <family val="2"/>
      <scheme val="minor"/>
    </font>
    <font>
      <i/>
      <sz val="11"/>
      <color theme="1"/>
      <name val="Calibri"/>
      <family val="2"/>
      <scheme val="minor"/>
    </font>
    <font>
      <i/>
      <sz val="18"/>
      <color theme="4"/>
      <name val="Calibri"/>
      <family val="2"/>
      <scheme val="minor"/>
    </font>
    <font>
      <i/>
      <sz val="11"/>
      <color theme="4"/>
      <name val="Calibri"/>
      <family val="2"/>
      <scheme val="minor"/>
    </font>
    <font>
      <b/>
      <sz val="11"/>
      <color rgb="FF00B050"/>
      <name val="Calibri"/>
      <family val="2"/>
      <scheme val="minor"/>
    </font>
    <font>
      <b/>
      <sz val="11"/>
      <color theme="4"/>
      <name val="Calibri"/>
      <family val="2"/>
      <scheme val="minor"/>
    </font>
    <font>
      <b/>
      <sz val="16"/>
      <color theme="1"/>
      <name val="Calibri"/>
      <family val="2"/>
      <scheme val="minor"/>
    </font>
    <font>
      <sz val="11"/>
      <color rgb="FF00B050"/>
      <name val="Calibri"/>
      <family val="2"/>
      <scheme val="minor"/>
    </font>
    <font>
      <sz val="11"/>
      <color rgb="FF0070C0"/>
      <name val="Calibri"/>
      <family val="2"/>
      <scheme val="minor"/>
    </font>
    <font>
      <i/>
      <sz val="11"/>
      <color rgb="FF00B050"/>
      <name val="Calibri"/>
      <family val="2"/>
      <scheme val="minor"/>
    </font>
    <font>
      <b/>
      <i/>
      <sz val="11"/>
      <name val="Calibri"/>
      <family val="2"/>
      <scheme val="minor"/>
    </font>
    <font>
      <b/>
      <i/>
      <sz val="11"/>
      <color rgb="FF00B050"/>
      <name val="Calibri"/>
      <family val="2"/>
      <scheme val="minor"/>
    </font>
    <font>
      <sz val="24"/>
      <color rgb="FFFF0000"/>
      <name val="Calibri"/>
      <family val="2"/>
      <scheme val="minor"/>
    </font>
    <font>
      <sz val="10.5"/>
      <color rgb="FF000000"/>
      <name val="Tahoma"/>
      <family val="2"/>
    </font>
    <font>
      <sz val="8"/>
      <name val="Calibri"/>
      <family val="2"/>
      <scheme val="minor"/>
    </font>
    <font>
      <sz val="11"/>
      <color theme="1"/>
      <name val="Calibri"/>
      <family val="2"/>
      <scheme val="minor"/>
    </font>
    <font>
      <sz val="20"/>
      <color theme="1"/>
      <name val="Calibri"/>
      <family val="2"/>
      <scheme val="minor"/>
    </font>
    <font>
      <sz val="28"/>
      <color theme="1"/>
      <name val="Calibri"/>
      <family val="2"/>
      <scheme val="minor"/>
    </font>
    <font>
      <b/>
      <sz val="12"/>
      <color rgb="FFFF0000"/>
      <name val="Calibri"/>
      <family val="2"/>
      <scheme val="minor"/>
    </font>
    <font>
      <b/>
      <sz val="10"/>
      <color rgb="FFFF0000"/>
      <name val="Calibri"/>
      <family val="2"/>
      <scheme val="minor"/>
    </font>
    <font>
      <sz val="8"/>
      <color theme="1"/>
      <name val="Calibri"/>
      <family val="2"/>
      <scheme val="minor"/>
    </font>
    <font>
      <b/>
      <i/>
      <sz val="12"/>
      <color theme="4"/>
      <name val="Calibri"/>
      <family val="2"/>
      <scheme val="minor"/>
    </font>
    <font>
      <sz val="26"/>
      <color theme="1"/>
      <name val="Calibri"/>
      <family val="2"/>
      <scheme val="minor"/>
    </font>
  </fonts>
  <fills count="16">
    <fill>
      <patternFill patternType="none"/>
    </fill>
    <fill>
      <patternFill patternType="gray125"/>
    </fill>
    <fill>
      <patternFill patternType="solid">
        <fgColor theme="3"/>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theme="3" tint="0.59996337778862885"/>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6"/>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5">
    <xf numFmtId="0" fontId="0" fillId="0" borderId="0"/>
    <xf numFmtId="9" fontId="2" fillId="0" borderId="0" applyFont="0" applyFill="0" applyBorder="0" applyAlignment="0" applyProtection="0"/>
    <xf numFmtId="0" fontId="14" fillId="0" borderId="0"/>
    <xf numFmtId="0" fontId="1" fillId="0" borderId="0"/>
    <xf numFmtId="44" fontId="2" fillId="0" borderId="0" applyFont="0" applyFill="0" applyBorder="0" applyAlignment="0" applyProtection="0"/>
  </cellStyleXfs>
  <cellXfs count="223">
    <xf numFmtId="0" fontId="0" fillId="0" borderId="0" xfId="0"/>
    <xf numFmtId="0" fontId="3" fillId="0" borderId="0" xfId="0" applyFont="1"/>
    <xf numFmtId="0" fontId="6" fillId="2" borderId="1" xfId="0" applyFont="1" applyFill="1" applyBorder="1" applyAlignment="1">
      <alignment horizontal="left"/>
    </xf>
    <xf numFmtId="0" fontId="7" fillId="2" borderId="2" xfId="0" applyFont="1" applyFill="1" applyBorder="1" applyAlignment="1">
      <alignment horizontal="left"/>
    </xf>
    <xf numFmtId="0" fontId="8" fillId="2" borderId="2" xfId="0" applyFont="1" applyFill="1" applyBorder="1" applyAlignment="1">
      <alignment horizontal="left"/>
    </xf>
    <xf numFmtId="0" fontId="8" fillId="2" borderId="3" xfId="0" applyFont="1" applyFill="1" applyBorder="1" applyAlignment="1">
      <alignment horizontal="left"/>
    </xf>
    <xf numFmtId="0" fontId="0" fillId="0" borderId="0" xfId="0" applyProtection="1">
      <protection locked="0"/>
    </xf>
    <xf numFmtId="0" fontId="0" fillId="0" borderId="4" xfId="0" applyBorder="1"/>
    <xf numFmtId="0" fontId="9" fillId="0" borderId="5" xfId="0" applyFont="1" applyBorder="1"/>
    <xf numFmtId="0" fontId="3" fillId="0" borderId="4" xfId="0" applyFont="1" applyBorder="1"/>
    <xf numFmtId="14" fontId="9" fillId="0" borderId="0" xfId="0" applyNumberFormat="1" applyFont="1" applyAlignment="1">
      <alignment horizontal="right"/>
    </xf>
    <xf numFmtId="0" fontId="9" fillId="0" borderId="0" xfId="0" applyFont="1"/>
    <xf numFmtId="6" fontId="9" fillId="0" borderId="5" xfId="0" applyNumberFormat="1" applyFont="1" applyBorder="1"/>
    <xf numFmtId="9" fontId="9" fillId="0" borderId="5" xfId="0" applyNumberFormat="1" applyFont="1" applyBorder="1"/>
    <xf numFmtId="9" fontId="0" fillId="0" borderId="0" xfId="0" applyNumberFormat="1"/>
    <xf numFmtId="8" fontId="9" fillId="0" borderId="0" xfId="0" applyNumberFormat="1" applyFont="1" applyAlignment="1">
      <alignment horizontal="right"/>
    </xf>
    <xf numFmtId="10" fontId="9" fillId="0" borderId="5" xfId="0" applyNumberFormat="1" applyFont="1" applyBorder="1"/>
    <xf numFmtId="3" fontId="9" fillId="0" borderId="0" xfId="0" applyNumberFormat="1" applyFont="1"/>
    <xf numFmtId="10" fontId="10" fillId="0" borderId="5" xfId="0" applyNumberFormat="1" applyFont="1" applyBorder="1"/>
    <xf numFmtId="6" fontId="10" fillId="0" borderId="0" xfId="0" applyNumberFormat="1" applyFont="1"/>
    <xf numFmtId="1" fontId="11" fillId="0" borderId="5" xfId="0" applyNumberFormat="1" applyFont="1" applyBorder="1"/>
    <xf numFmtId="3" fontId="10" fillId="0" borderId="0" xfId="0" applyNumberFormat="1" applyFont="1"/>
    <xf numFmtId="0" fontId="0" fillId="0" borderId="5" xfId="0" applyBorder="1"/>
    <xf numFmtId="0" fontId="3" fillId="0" borderId="7" xfId="0" applyFont="1" applyBorder="1" applyAlignment="1" applyProtection="1">
      <alignment horizontal="center"/>
      <protection locked="0"/>
    </xf>
    <xf numFmtId="0" fontId="0" fillId="0" borderId="8" xfId="0" applyBorder="1"/>
    <xf numFmtId="0" fontId="0" fillId="0" borderId="4" xfId="0" applyBorder="1" applyAlignment="1">
      <alignment horizontal="left" indent="1"/>
    </xf>
    <xf numFmtId="6" fontId="0" fillId="0" borderId="0" xfId="0" applyNumberFormat="1"/>
    <xf numFmtId="1" fontId="12" fillId="3" borderId="9" xfId="0" applyNumberFormat="1" applyFont="1" applyFill="1" applyBorder="1" applyAlignment="1" applyProtection="1">
      <alignment horizontal="center"/>
      <protection locked="0"/>
    </xf>
    <xf numFmtId="6" fontId="9" fillId="0" borderId="0" xfId="0" applyNumberFormat="1" applyFont="1"/>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6" fontId="3" fillId="0" borderId="2" xfId="0" applyNumberFormat="1" applyFont="1" applyBorder="1"/>
    <xf numFmtId="0" fontId="0" fillId="0" borderId="2" xfId="0" applyBorder="1"/>
    <xf numFmtId="0" fontId="3" fillId="5" borderId="16" xfId="0" applyFont="1" applyFill="1" applyBorder="1" applyAlignment="1">
      <alignment horizontal="centerContinuous"/>
    </xf>
    <xf numFmtId="0" fontId="0" fillId="5" borderId="17" xfId="0" applyFill="1" applyBorder="1" applyAlignment="1">
      <alignment horizontal="centerContinuous"/>
    </xf>
    <xf numFmtId="0" fontId="0" fillId="5" borderId="18" xfId="0" applyFill="1" applyBorder="1" applyAlignment="1">
      <alignment horizontal="centerContinuous"/>
    </xf>
    <xf numFmtId="0" fontId="3" fillId="6" borderId="17" xfId="0" applyFont="1" applyFill="1" applyBorder="1" applyAlignment="1">
      <alignment horizontal="centerContinuous"/>
    </xf>
    <xf numFmtId="0" fontId="3" fillId="6" borderId="18" xfId="0" applyFont="1" applyFill="1" applyBorder="1" applyAlignment="1">
      <alignment horizontal="centerContinuous"/>
    </xf>
    <xf numFmtId="0" fontId="13" fillId="0" borderId="6" xfId="0" applyFont="1" applyBorder="1" applyAlignment="1">
      <alignment horizontal="center"/>
    </xf>
    <xf numFmtId="0" fontId="13" fillId="0" borderId="19" xfId="0" applyFont="1" applyBorder="1" applyAlignment="1">
      <alignment horizontal="center"/>
    </xf>
    <xf numFmtId="0" fontId="13" fillId="0" borderId="0" xfId="0" applyFont="1" applyAlignment="1">
      <alignment horizontal="center"/>
    </xf>
    <xf numFmtId="0" fontId="13" fillId="0" borderId="5" xfId="0" applyFont="1" applyBorder="1" applyAlignment="1">
      <alignment horizontal="center"/>
    </xf>
    <xf numFmtId="164" fontId="15" fillId="0" borderId="0" xfId="2" applyNumberFormat="1" applyFont="1"/>
    <xf numFmtId="164" fontId="15" fillId="0" borderId="5" xfId="2" applyNumberFormat="1" applyFont="1" applyBorder="1"/>
    <xf numFmtId="0" fontId="0" fillId="7" borderId="20" xfId="0" applyFill="1" applyBorder="1"/>
    <xf numFmtId="0" fontId="0" fillId="7" borderId="21" xfId="0" applyFill="1" applyBorder="1" applyProtection="1">
      <protection locked="0"/>
    </xf>
    <xf numFmtId="10" fontId="0" fillId="7" borderId="21" xfId="1" applyNumberFormat="1" applyFont="1" applyFill="1" applyBorder="1" applyProtection="1">
      <protection locked="0"/>
    </xf>
    <xf numFmtId="10" fontId="0" fillId="7" borderId="22" xfId="1" applyNumberFormat="1" applyFont="1" applyFill="1" applyBorder="1" applyProtection="1">
      <protection locked="0"/>
    </xf>
    <xf numFmtId="0" fontId="0" fillId="7" borderId="13" xfId="0" applyFill="1" applyBorder="1"/>
    <xf numFmtId="0" fontId="0" fillId="7" borderId="14" xfId="0" applyFill="1" applyBorder="1" applyProtection="1">
      <protection locked="0"/>
    </xf>
    <xf numFmtId="10" fontId="0" fillId="7" borderId="14" xfId="1" applyNumberFormat="1" applyFont="1" applyFill="1" applyBorder="1" applyProtection="1">
      <protection locked="0"/>
    </xf>
    <xf numFmtId="10" fontId="0" fillId="7" borderId="15" xfId="1" applyNumberFormat="1" applyFont="1" applyFill="1" applyBorder="1" applyProtection="1">
      <protection locked="0"/>
    </xf>
    <xf numFmtId="0" fontId="3" fillId="0" borderId="23" xfId="0" applyFont="1" applyBorder="1"/>
    <xf numFmtId="0" fontId="0" fillId="0" borderId="6" xfId="0" applyBorder="1"/>
    <xf numFmtId="164" fontId="15" fillId="0" borderId="6" xfId="2" applyNumberFormat="1" applyFont="1" applyBorder="1"/>
    <xf numFmtId="164" fontId="15" fillId="0" borderId="19" xfId="2" applyNumberFormat="1" applyFont="1" applyBorder="1"/>
    <xf numFmtId="165" fontId="16" fillId="0" borderId="24" xfId="0" applyNumberFormat="1" applyFont="1" applyBorder="1" applyAlignment="1">
      <alignment vertical="center"/>
    </xf>
    <xf numFmtId="165" fontId="16" fillId="0" borderId="25" xfId="0" applyNumberFormat="1" applyFont="1" applyBorder="1" applyAlignment="1">
      <alignment vertical="center"/>
    </xf>
    <xf numFmtId="165" fontId="16" fillId="0" borderId="26" xfId="0" applyNumberFormat="1" applyFont="1" applyBorder="1" applyAlignment="1">
      <alignment vertical="center"/>
    </xf>
    <xf numFmtId="165" fontId="16" fillId="0" borderId="27" xfId="0" applyNumberFormat="1" applyFont="1" applyBorder="1" applyAlignment="1">
      <alignment vertical="center"/>
    </xf>
    <xf numFmtId="165" fontId="16" fillId="0" borderId="0" xfId="0" applyNumberFormat="1" applyFont="1" applyAlignment="1">
      <alignment vertical="center"/>
    </xf>
    <xf numFmtId="165" fontId="16" fillId="0" borderId="28" xfId="0" applyNumberFormat="1" applyFont="1" applyBorder="1" applyAlignment="1">
      <alignment vertical="center"/>
    </xf>
    <xf numFmtId="165" fontId="17" fillId="0" borderId="0" xfId="0" applyNumberFormat="1" applyFont="1" applyAlignment="1">
      <alignment vertical="center"/>
    </xf>
    <xf numFmtId="165" fontId="17" fillId="0" borderId="28" xfId="0" applyNumberFormat="1" applyFont="1" applyBorder="1" applyAlignment="1">
      <alignment vertical="center"/>
    </xf>
    <xf numFmtId="165" fontId="17" fillId="0" borderId="27" xfId="0" applyNumberFormat="1" applyFont="1" applyBorder="1" applyAlignment="1">
      <alignment vertical="center"/>
    </xf>
    <xf numFmtId="165" fontId="17" fillId="0" borderId="0" xfId="0" applyNumberFormat="1" applyFont="1"/>
    <xf numFmtId="165" fontId="18" fillId="8" borderId="10" xfId="0" applyNumberFormat="1" applyFont="1" applyFill="1" applyBorder="1" applyProtection="1">
      <protection locked="0"/>
    </xf>
    <xf numFmtId="165" fontId="17" fillId="0" borderId="27" xfId="0" applyNumberFormat="1" applyFont="1" applyBorder="1"/>
    <xf numFmtId="165" fontId="17" fillId="0" borderId="28" xfId="0" applyNumberFormat="1" applyFont="1" applyBorder="1"/>
    <xf numFmtId="165" fontId="19" fillId="0" borderId="0" xfId="0" applyNumberFormat="1" applyFont="1"/>
    <xf numFmtId="0" fontId="0" fillId="0" borderId="27" xfId="0" applyBorder="1"/>
    <xf numFmtId="0" fontId="0" fillId="0" borderId="28" xfId="0" applyBorder="1"/>
    <xf numFmtId="10" fontId="0" fillId="0" borderId="27" xfId="1" applyNumberFormat="1" applyFont="1" applyBorder="1"/>
    <xf numFmtId="10" fontId="0" fillId="0" borderId="0" xfId="1" applyNumberFormat="1" applyFont="1"/>
    <xf numFmtId="10" fontId="0" fillId="0" borderId="28" xfId="1" applyNumberFormat="1" applyFont="1" applyBorder="1"/>
    <xf numFmtId="166" fontId="0" fillId="0" borderId="0" xfId="0" applyNumberFormat="1"/>
    <xf numFmtId="166" fontId="0" fillId="0" borderId="27" xfId="0" applyNumberFormat="1" applyBorder="1"/>
    <xf numFmtId="166" fontId="0" fillId="0" borderId="28" xfId="0" applyNumberFormat="1" applyBorder="1"/>
    <xf numFmtId="6" fontId="9" fillId="0" borderId="27" xfId="0" applyNumberFormat="1" applyFont="1" applyBorder="1"/>
    <xf numFmtId="6" fontId="9" fillId="0" borderId="28" xfId="0" applyNumberFormat="1" applyFont="1" applyBorder="1"/>
    <xf numFmtId="9" fontId="17" fillId="0" borderId="0" xfId="0" applyNumberFormat="1" applyFont="1"/>
    <xf numFmtId="9" fontId="17" fillId="0" borderId="27" xfId="0" applyNumberFormat="1" applyFont="1" applyBorder="1"/>
    <xf numFmtId="9" fontId="17" fillId="0" borderId="28" xfId="0" applyNumberFormat="1" applyFont="1" applyBorder="1"/>
    <xf numFmtId="0" fontId="0" fillId="0" borderId="23" xfId="0" applyBorder="1"/>
    <xf numFmtId="165" fontId="17" fillId="0" borderId="6" xfId="0" applyNumberFormat="1" applyFont="1" applyBorder="1"/>
    <xf numFmtId="165" fontId="17" fillId="0" borderId="29" xfId="0" applyNumberFormat="1" applyFont="1" applyBorder="1"/>
    <xf numFmtId="165" fontId="17" fillId="0" borderId="30" xfId="0" applyNumberFormat="1" applyFont="1" applyBorder="1"/>
    <xf numFmtId="165" fontId="17" fillId="0" borderId="31" xfId="0" applyNumberFormat="1" applyFont="1" applyBorder="1"/>
    <xf numFmtId="0" fontId="20" fillId="0" borderId="5" xfId="0" applyFont="1" applyBorder="1" applyAlignment="1">
      <alignment horizontal="center"/>
    </xf>
    <xf numFmtId="6" fontId="21" fillId="0" borderId="0" xfId="0" applyNumberFormat="1" applyFont="1"/>
    <xf numFmtId="6" fontId="21" fillId="0" borderId="5" xfId="0" applyNumberFormat="1" applyFont="1" applyBorder="1"/>
    <xf numFmtId="6" fontId="13" fillId="0" borderId="0" xfId="0" applyNumberFormat="1" applyFont="1"/>
    <xf numFmtId="6" fontId="13" fillId="0" borderId="5" xfId="0" applyNumberFormat="1" applyFont="1" applyBorder="1"/>
    <xf numFmtId="6" fontId="10" fillId="0" borderId="5" xfId="0" applyNumberFormat="1" applyFont="1" applyBorder="1"/>
    <xf numFmtId="0" fontId="3" fillId="0" borderId="4" xfId="0" applyFont="1" applyBorder="1" applyAlignment="1">
      <alignment horizontal="left" indent="1"/>
    </xf>
    <xf numFmtId="6" fontId="3" fillId="0" borderId="0" xfId="0" applyNumberFormat="1" applyFont="1"/>
    <xf numFmtId="6" fontId="3" fillId="0" borderId="5" xfId="0" applyNumberFormat="1" applyFont="1" applyBorder="1"/>
    <xf numFmtId="6" fontId="3" fillId="0" borderId="4" xfId="0" applyNumberFormat="1" applyFont="1" applyBorder="1"/>
    <xf numFmtId="0" fontId="3" fillId="0" borderId="1" xfId="0" applyFont="1" applyBorder="1" applyAlignment="1">
      <alignment horizontal="left"/>
    </xf>
    <xf numFmtId="6" fontId="3" fillId="0" borderId="3" xfId="0" applyNumberFormat="1" applyFont="1" applyBorder="1"/>
    <xf numFmtId="0" fontId="3" fillId="0" borderId="4" xfId="0" applyFont="1" applyBorder="1" applyAlignment="1">
      <alignment horizontal="left"/>
    </xf>
    <xf numFmtId="167" fontId="13" fillId="0" borderId="0" xfId="0" applyNumberFormat="1" applyFont="1"/>
    <xf numFmtId="167" fontId="13" fillId="0" borderId="5" xfId="0" applyNumberFormat="1" applyFont="1" applyBorder="1"/>
    <xf numFmtId="6" fontId="0" fillId="0" borderId="5" xfId="0" applyNumberFormat="1" applyBorder="1"/>
    <xf numFmtId="0" fontId="0" fillId="0" borderId="4" xfId="0" applyBorder="1" applyAlignment="1">
      <alignment horizontal="left"/>
    </xf>
    <xf numFmtId="8" fontId="3" fillId="0" borderId="0" xfId="0" applyNumberFormat="1" applyFont="1"/>
    <xf numFmtId="8" fontId="3" fillId="0" borderId="5" xfId="0" applyNumberFormat="1" applyFont="1" applyBorder="1"/>
    <xf numFmtId="3" fontId="9" fillId="0" borderId="5" xfId="0" applyNumberFormat="1" applyFont="1" applyBorder="1"/>
    <xf numFmtId="3" fontId="10" fillId="0" borderId="5" xfId="0" applyNumberFormat="1" applyFont="1" applyBorder="1"/>
    <xf numFmtId="0" fontId="3" fillId="0" borderId="23" xfId="0" applyFont="1" applyBorder="1" applyAlignment="1">
      <alignment horizontal="left" indent="1"/>
    </xf>
    <xf numFmtId="3" fontId="9" fillId="0" borderId="6" xfId="0" applyNumberFormat="1" applyFont="1" applyBorder="1"/>
    <xf numFmtId="8" fontId="3" fillId="0" borderId="6" xfId="0" applyNumberFormat="1" applyFont="1" applyBorder="1"/>
    <xf numFmtId="8" fontId="3" fillId="0" borderId="19" xfId="0" applyNumberFormat="1" applyFont="1" applyBorder="1"/>
    <xf numFmtId="0" fontId="3" fillId="0" borderId="4" xfId="0" applyFont="1" applyBorder="1" applyAlignment="1">
      <alignment horizontal="centerContinuous"/>
    </xf>
    <xf numFmtId="0" fontId="0" fillId="0" borderId="0" xfId="0" applyAlignment="1">
      <alignment horizontal="centerContinuous"/>
    </xf>
    <xf numFmtId="4" fontId="20" fillId="0" borderId="0" xfId="0" applyNumberFormat="1" applyFont="1" applyAlignment="1">
      <alignment horizontal="left"/>
    </xf>
    <xf numFmtId="4" fontId="20" fillId="0" borderId="5" xfId="0" applyNumberFormat="1" applyFont="1" applyBorder="1" applyAlignment="1">
      <alignment horizontal="left"/>
    </xf>
    <xf numFmtId="0" fontId="0" fillId="0" borderId="3" xfId="0" applyBorder="1"/>
    <xf numFmtId="6" fontId="20" fillId="0" borderId="0" xfId="0" applyNumberFormat="1" applyFont="1"/>
    <xf numFmtId="6" fontId="20" fillId="0" borderId="5" xfId="0" applyNumberFormat="1" applyFont="1" applyBorder="1"/>
    <xf numFmtId="6" fontId="23" fillId="0" borderId="0" xfId="0" applyNumberFormat="1" applyFont="1"/>
    <xf numFmtId="0" fontId="3" fillId="0" borderId="1" xfId="0" applyFont="1" applyBorder="1"/>
    <xf numFmtId="167" fontId="13" fillId="0" borderId="2" xfId="0" applyNumberFormat="1" applyFont="1" applyBorder="1"/>
    <xf numFmtId="167" fontId="20" fillId="0" borderId="2" xfId="0" applyNumberFormat="1" applyFont="1" applyBorder="1"/>
    <xf numFmtId="6" fontId="13" fillId="0" borderId="2" xfId="0" applyNumberFormat="1" applyFont="1" applyBorder="1"/>
    <xf numFmtId="6" fontId="13" fillId="0" borderId="3" xfId="0" applyNumberFormat="1" applyFont="1" applyBorder="1"/>
    <xf numFmtId="6" fontId="24" fillId="0" borderId="0" xfId="0" applyNumberFormat="1" applyFont="1"/>
    <xf numFmtId="5" fontId="24" fillId="0" borderId="0" xfId="0" applyNumberFormat="1" applyFont="1"/>
    <xf numFmtId="5" fontId="10" fillId="0" borderId="0" xfId="0" applyNumberFormat="1" applyFont="1"/>
    <xf numFmtId="168" fontId="10" fillId="0" borderId="4" xfId="0" applyNumberFormat="1" applyFont="1" applyBorder="1" applyAlignment="1">
      <alignment horizontal="left" indent="1"/>
    </xf>
    <xf numFmtId="168" fontId="16" fillId="0" borderId="0" xfId="0" applyNumberFormat="1" applyFont="1"/>
    <xf numFmtId="168" fontId="25" fillId="0" borderId="0" xfId="0" applyNumberFormat="1" applyFont="1"/>
    <xf numFmtId="168" fontId="16" fillId="0" borderId="4" xfId="0" applyNumberFormat="1" applyFont="1" applyBorder="1"/>
    <xf numFmtId="168" fontId="25" fillId="0" borderId="5" xfId="0" applyNumberFormat="1" applyFont="1" applyBorder="1"/>
    <xf numFmtId="168" fontId="13" fillId="0" borderId="4" xfId="0" applyNumberFormat="1" applyFont="1" applyBorder="1" applyAlignment="1">
      <alignment horizontal="centerContinuous"/>
    </xf>
    <xf numFmtId="168" fontId="26" fillId="0" borderId="0" xfId="0" applyNumberFormat="1" applyFont="1" applyAlignment="1">
      <alignment horizontal="centerContinuous"/>
    </xf>
    <xf numFmtId="168" fontId="27" fillId="0" borderId="0" xfId="0" applyNumberFormat="1" applyFont="1" applyAlignment="1">
      <alignment horizontal="centerContinuous"/>
    </xf>
    <xf numFmtId="168" fontId="27" fillId="0" borderId="0" xfId="0" applyNumberFormat="1" applyFont="1" applyAlignment="1">
      <alignment horizontal="left"/>
    </xf>
    <xf numFmtId="168" fontId="27" fillId="0" borderId="5" xfId="0" applyNumberFormat="1" applyFont="1" applyBorder="1" applyAlignment="1">
      <alignment horizontal="left"/>
    </xf>
    <xf numFmtId="6" fontId="13" fillId="0" borderId="6" xfId="0" applyNumberFormat="1" applyFont="1" applyBorder="1"/>
    <xf numFmtId="6" fontId="13" fillId="0" borderId="19" xfId="0" applyNumberFormat="1" applyFont="1" applyBorder="1"/>
    <xf numFmtId="169" fontId="3" fillId="0" borderId="0" xfId="0" applyNumberFormat="1" applyFont="1"/>
    <xf numFmtId="0" fontId="3" fillId="0" borderId="0" xfId="0" applyFont="1" applyAlignment="1">
      <alignment horizontal="centerContinuous"/>
    </xf>
    <xf numFmtId="0" fontId="20" fillId="0" borderId="5" xfId="0" applyFont="1" applyBorder="1" applyAlignment="1">
      <alignment horizontal="centerContinuous"/>
    </xf>
    <xf numFmtId="6" fontId="13" fillId="0" borderId="4" xfId="0" applyNumberFormat="1" applyFont="1" applyBorder="1"/>
    <xf numFmtId="6" fontId="10" fillId="0" borderId="4" xfId="0" applyNumberFormat="1" applyFont="1" applyBorder="1"/>
    <xf numFmtId="6" fontId="0" fillId="0" borderId="4" xfId="0" applyNumberFormat="1" applyBorder="1"/>
    <xf numFmtId="6" fontId="3" fillId="0" borderId="1" xfId="0" applyNumberFormat="1" applyFont="1" applyBorder="1"/>
    <xf numFmtId="8" fontId="3" fillId="0" borderId="0" xfId="0" applyNumberFormat="1" applyFont="1" applyAlignment="1">
      <alignment horizontal="centerContinuous"/>
    </xf>
    <xf numFmtId="0" fontId="0" fillId="0" borderId="5" xfId="0" applyBorder="1" applyAlignment="1">
      <alignment horizontal="centerContinuous"/>
    </xf>
    <xf numFmtId="3" fontId="23" fillId="0" borderId="0" xfId="0" applyNumberFormat="1" applyFont="1"/>
    <xf numFmtId="6" fontId="21" fillId="0" borderId="6" xfId="0" applyNumberFormat="1" applyFont="1" applyBorder="1"/>
    <xf numFmtId="6" fontId="3" fillId="0" borderId="6" xfId="0" applyNumberFormat="1" applyFont="1" applyBorder="1"/>
    <xf numFmtId="6" fontId="3" fillId="0" borderId="19" xfId="0" applyNumberFormat="1" applyFont="1" applyBorder="1"/>
    <xf numFmtId="0" fontId="0" fillId="10" borderId="0" xfId="0" applyFill="1"/>
    <xf numFmtId="0" fontId="31" fillId="0" borderId="0" xfId="0" applyFont="1" applyAlignment="1">
      <alignment horizontal="center" vertical="center"/>
    </xf>
    <xf numFmtId="0" fontId="0" fillId="0" borderId="27" xfId="0" applyBorder="1" applyProtection="1">
      <protection locked="0"/>
    </xf>
    <xf numFmtId="0" fontId="0" fillId="0" borderId="28" xfId="0" applyBorder="1" applyProtection="1">
      <protection locked="0"/>
    </xf>
    <xf numFmtId="0" fontId="1" fillId="11" borderId="0" xfId="3" applyFill="1"/>
    <xf numFmtId="0" fontId="1" fillId="12" borderId="31" xfId="3" applyFill="1" applyBorder="1"/>
    <xf numFmtId="0" fontId="1" fillId="12" borderId="30" xfId="3" applyFill="1" applyBorder="1"/>
    <xf numFmtId="0" fontId="1" fillId="12" borderId="29" xfId="3" applyFill="1" applyBorder="1"/>
    <xf numFmtId="0" fontId="1" fillId="12" borderId="28" xfId="3" applyFill="1" applyBorder="1"/>
    <xf numFmtId="0" fontId="1" fillId="12" borderId="0" xfId="3" applyFill="1"/>
    <xf numFmtId="0" fontId="1" fillId="12" borderId="27" xfId="3" applyFill="1" applyBorder="1"/>
    <xf numFmtId="0" fontId="1" fillId="12" borderId="26" xfId="3" applyFill="1" applyBorder="1"/>
    <xf numFmtId="0" fontId="1" fillId="12" borderId="25" xfId="3" applyFill="1" applyBorder="1"/>
    <xf numFmtId="0" fontId="33" fillId="12" borderId="24" xfId="3" applyFont="1" applyFill="1" applyBorder="1"/>
    <xf numFmtId="0" fontId="22" fillId="0" borderId="32" xfId="0" applyFont="1" applyBorder="1" applyAlignment="1">
      <alignment horizontal="left" indent="1"/>
    </xf>
    <xf numFmtId="0" fontId="12" fillId="0" borderId="33" xfId="0" applyFont="1" applyBorder="1"/>
    <xf numFmtId="6" fontId="22" fillId="0" borderId="33" xfId="0" applyNumberFormat="1" applyFont="1" applyBorder="1"/>
    <xf numFmtId="6" fontId="22" fillId="0" borderId="35" xfId="0" applyNumberFormat="1" applyFont="1" applyBorder="1"/>
    <xf numFmtId="6" fontId="22" fillId="0" borderId="36" xfId="0" applyNumberFormat="1" applyFont="1" applyBorder="1"/>
    <xf numFmtId="6" fontId="22" fillId="0" borderId="34" xfId="0" applyNumberFormat="1" applyFont="1" applyBorder="1"/>
    <xf numFmtId="167" fontId="34" fillId="0" borderId="33" xfId="0" applyNumberFormat="1" applyFont="1" applyBorder="1"/>
    <xf numFmtId="0" fontId="35" fillId="0" borderId="0" xfId="0" applyFont="1"/>
    <xf numFmtId="0" fontId="13" fillId="0" borderId="11" xfId="0" applyFont="1" applyBorder="1" applyAlignment="1">
      <alignment horizontal="center"/>
    </xf>
    <xf numFmtId="0" fontId="13" fillId="0" borderId="12" xfId="0" applyFont="1" applyBorder="1" applyAlignment="1">
      <alignment horizontal="center"/>
    </xf>
    <xf numFmtId="165" fontId="17" fillId="13" borderId="21" xfId="0" applyNumberFormat="1" applyFont="1" applyFill="1" applyBorder="1"/>
    <xf numFmtId="165" fontId="19" fillId="13" borderId="21" xfId="0" applyNumberFormat="1" applyFont="1" applyFill="1" applyBorder="1"/>
    <xf numFmtId="165" fontId="16" fillId="13" borderId="14" xfId="0" applyNumberFormat="1" applyFont="1" applyFill="1" applyBorder="1"/>
    <xf numFmtId="10" fontId="17" fillId="13" borderId="21" xfId="0" applyNumberFormat="1" applyFont="1" applyFill="1" applyBorder="1"/>
    <xf numFmtId="10" fontId="19" fillId="13" borderId="21" xfId="0" applyNumberFormat="1" applyFont="1" applyFill="1" applyBorder="1"/>
    <xf numFmtId="10" fontId="16" fillId="13" borderId="14" xfId="0" applyNumberFormat="1" applyFont="1" applyFill="1" applyBorder="1"/>
    <xf numFmtId="10" fontId="0" fillId="0" borderId="0" xfId="0" applyNumberFormat="1"/>
    <xf numFmtId="10" fontId="13" fillId="0" borderId="11" xfId="0" applyNumberFormat="1" applyFont="1" applyBorder="1" applyAlignment="1">
      <alignment horizontal="center"/>
    </xf>
    <xf numFmtId="10" fontId="13" fillId="0" borderId="12" xfId="0" applyNumberFormat="1" applyFont="1" applyBorder="1" applyAlignment="1">
      <alignment horizontal="center"/>
    </xf>
    <xf numFmtId="165" fontId="37" fillId="14" borderId="10" xfId="0" applyNumberFormat="1" applyFont="1" applyFill="1" applyBorder="1"/>
    <xf numFmtId="8" fontId="0" fillId="4" borderId="14" xfId="0" applyNumberFormat="1" applyFill="1" applyBorder="1" applyProtection="1">
      <protection locked="0"/>
    </xf>
    <xf numFmtId="9" fontId="0" fillId="4" borderId="15" xfId="0" applyNumberFormat="1" applyFill="1" applyBorder="1" applyProtection="1">
      <protection locked="0"/>
    </xf>
    <xf numFmtId="0" fontId="0" fillId="0" borderId="40" xfId="0" applyBorder="1" applyProtection="1">
      <protection locked="0"/>
    </xf>
    <xf numFmtId="0" fontId="0" fillId="0" borderId="10" xfId="0" applyBorder="1"/>
    <xf numFmtId="0" fontId="0" fillId="0" borderId="11" xfId="0" applyBorder="1"/>
    <xf numFmtId="0" fontId="0" fillId="0" borderId="12" xfId="0" applyBorder="1"/>
    <xf numFmtId="0" fontId="0" fillId="0" borderId="20" xfId="0" applyBorder="1"/>
    <xf numFmtId="0" fontId="0" fillId="0" borderId="13" xfId="0" applyBorder="1"/>
    <xf numFmtId="44" fontId="0" fillId="15" borderId="21" xfId="4" applyFont="1" applyFill="1" applyBorder="1"/>
    <xf numFmtId="44" fontId="0" fillId="15" borderId="22" xfId="4" applyFont="1" applyFill="1" applyBorder="1"/>
    <xf numFmtId="9" fontId="0" fillId="15" borderId="14" xfId="1" applyFont="1" applyFill="1" applyBorder="1"/>
    <xf numFmtId="9" fontId="0" fillId="15" borderId="15" xfId="1" applyFont="1" applyFill="1" applyBorder="1"/>
    <xf numFmtId="0" fontId="38" fillId="12" borderId="24" xfId="3" applyFont="1" applyFill="1" applyBorder="1" applyAlignment="1">
      <alignment horizontal="center" vertical="center"/>
    </xf>
    <xf numFmtId="0" fontId="38" fillId="12" borderId="25" xfId="3" applyFont="1" applyFill="1" applyBorder="1" applyAlignment="1">
      <alignment horizontal="center" vertical="center"/>
    </xf>
    <xf numFmtId="0" fontId="38" fillId="12" borderId="26" xfId="3" applyFont="1" applyFill="1" applyBorder="1" applyAlignment="1">
      <alignment horizontal="center" vertical="center"/>
    </xf>
    <xf numFmtId="0" fontId="38" fillId="12" borderId="27" xfId="3" applyFont="1" applyFill="1" applyBorder="1" applyAlignment="1">
      <alignment horizontal="center" vertical="center"/>
    </xf>
    <xf numFmtId="0" fontId="38" fillId="12" borderId="0" xfId="3" applyFont="1" applyFill="1" applyAlignment="1">
      <alignment horizontal="center" vertical="center"/>
    </xf>
    <xf numFmtId="0" fontId="38" fillId="12" borderId="28" xfId="3" applyFont="1" applyFill="1" applyBorder="1" applyAlignment="1">
      <alignment horizontal="center" vertical="center"/>
    </xf>
    <xf numFmtId="0" fontId="38" fillId="12" borderId="29" xfId="3" applyFont="1" applyFill="1" applyBorder="1" applyAlignment="1">
      <alignment horizontal="center" vertical="center"/>
    </xf>
    <xf numFmtId="0" fontId="38" fillId="12" borderId="30" xfId="3" applyFont="1" applyFill="1" applyBorder="1" applyAlignment="1">
      <alignment horizontal="center" vertical="center"/>
    </xf>
    <xf numFmtId="0" fontId="38" fillId="12" borderId="31" xfId="3" applyFont="1" applyFill="1" applyBorder="1" applyAlignment="1">
      <alignment horizontal="center" vertical="center"/>
    </xf>
    <xf numFmtId="0" fontId="36" fillId="13" borderId="37" xfId="0" applyFont="1" applyFill="1" applyBorder="1" applyAlignment="1">
      <alignment horizontal="center"/>
    </xf>
    <xf numFmtId="0" fontId="36" fillId="13" borderId="18" xfId="0" applyFont="1" applyFill="1" applyBorder="1" applyAlignment="1">
      <alignment horizontal="center"/>
    </xf>
    <xf numFmtId="0" fontId="36" fillId="13" borderId="38" xfId="0" applyFont="1" applyFill="1" applyBorder="1" applyAlignment="1">
      <alignment horizontal="center"/>
    </xf>
    <xf numFmtId="0" fontId="36" fillId="13" borderId="39" xfId="0" applyFont="1" applyFill="1" applyBorder="1" applyAlignment="1">
      <alignment horizontal="center"/>
    </xf>
    <xf numFmtId="0" fontId="0" fillId="13" borderId="10" xfId="0" applyFill="1" applyBorder="1" applyAlignment="1">
      <alignment horizontal="center"/>
    </xf>
    <xf numFmtId="0" fontId="0" fillId="13" borderId="11" xfId="0" applyFill="1" applyBorder="1" applyAlignment="1">
      <alignment horizontal="center"/>
    </xf>
    <xf numFmtId="0" fontId="0" fillId="7" borderId="10" xfId="0" applyFill="1" applyBorder="1" applyAlignment="1">
      <alignment horizontal="center"/>
    </xf>
    <xf numFmtId="0" fontId="0" fillId="7" borderId="11" xfId="0" applyFill="1" applyBorder="1" applyAlignment="1">
      <alignment horizontal="center"/>
    </xf>
    <xf numFmtId="0" fontId="32" fillId="0" borderId="29" xfId="0" applyFont="1" applyBorder="1" applyAlignment="1">
      <alignment horizontal="center"/>
    </xf>
    <xf numFmtId="0" fontId="32" fillId="0" borderId="30" xfId="0" applyFont="1" applyBorder="1" applyAlignment="1">
      <alignment horizontal="center"/>
    </xf>
    <xf numFmtId="0" fontId="28" fillId="9" borderId="32" xfId="0" applyFont="1" applyFill="1" applyBorder="1" applyAlignment="1">
      <alignment horizontal="center"/>
    </xf>
    <xf numFmtId="0" fontId="28" fillId="9" borderId="33" xfId="0" applyFont="1" applyFill="1" applyBorder="1" applyAlignment="1">
      <alignment horizontal="center"/>
    </xf>
    <xf numFmtId="0" fontId="28" fillId="9" borderId="34" xfId="0" applyFont="1" applyFill="1" applyBorder="1" applyAlignment="1">
      <alignment horizontal="center"/>
    </xf>
  </cellXfs>
  <cellStyles count="5">
    <cellStyle name="Currency" xfId="4" builtinId="4"/>
    <cellStyle name="Normal" xfId="0" builtinId="0"/>
    <cellStyle name="Normal 2" xfId="2" xr:uid="{00000000-0005-0000-0000-000001000000}"/>
    <cellStyle name="Normal 2 2" xfId="3" xr:uid="{83219DA7-58E8-4D64-BEE3-D41F0DB79D6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2.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Projected Net Income: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FMSA!$A$93</c:f>
              <c:strCache>
                <c:ptCount val="1"/>
                <c:pt idx="0">
                  <c:v>Net Income:</c:v>
                </c:pt>
              </c:strCache>
            </c:strRef>
          </c:tx>
          <c:spPr>
            <a:solidFill>
              <a:schemeClr val="accent1"/>
            </a:solidFill>
            <a:ln>
              <a:noFill/>
            </a:ln>
            <a:effectLst/>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FMSA!$H$93:$M$93</c:f>
              <c:numCache>
                <c:formatCode>"$"#,##0_);[Red]\("$"#,##0\)</c:formatCode>
                <c:ptCount val="6"/>
                <c:pt idx="0">
                  <c:v>17115.696764676366</c:v>
                </c:pt>
                <c:pt idx="1">
                  <c:v>20827.38910879154</c:v>
                </c:pt>
                <c:pt idx="2">
                  <c:v>26131.045068155545</c:v>
                </c:pt>
                <c:pt idx="3">
                  <c:v>31333.247879589995</c:v>
                </c:pt>
                <c:pt idx="4">
                  <c:v>39228.463036993635</c:v>
                </c:pt>
                <c:pt idx="5">
                  <c:v>47384.086816916184</c:v>
                </c:pt>
              </c:numCache>
            </c:numRef>
          </c:val>
          <c:extLst>
            <c:ext xmlns:c16="http://schemas.microsoft.com/office/drawing/2014/chart" uri="{C3380CC4-5D6E-409C-BE32-E72D297353CC}">
              <c16:uniqueId val="{00000000-34BF-4AE2-B29B-4109750F2768}"/>
            </c:ext>
          </c:extLst>
        </c:ser>
        <c:dLbls>
          <c:showLegendKey val="0"/>
          <c:showVal val="0"/>
          <c:showCatName val="0"/>
          <c:showSerName val="0"/>
          <c:showPercent val="0"/>
          <c:showBubbleSize val="0"/>
        </c:dLbls>
        <c:gapWidth val="182"/>
        <c:axId val="294020384"/>
        <c:axId val="294022784"/>
      </c:barChart>
      <c:catAx>
        <c:axId val="2940203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294022784"/>
        <c:crosses val="autoZero"/>
        <c:auto val="1"/>
        <c:lblAlgn val="ctr"/>
        <c:lblOffset val="100"/>
        <c:noMultiLvlLbl val="0"/>
      </c:catAx>
      <c:valAx>
        <c:axId val="294022784"/>
        <c:scaling>
          <c:orientation val="minMax"/>
        </c:scaling>
        <c:delete val="0"/>
        <c:axPos val="b"/>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294020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FMSA!$H$21</c:f>
          <c:strCache>
            <c:ptCount val="1"/>
            <c:pt idx="0">
              <c:v>Projections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FMSA!$A$74</c:f>
              <c:strCache>
                <c:ptCount val="1"/>
                <c:pt idx="0">
                  <c:v>Revenue:</c:v>
                </c:pt>
              </c:strCache>
            </c:strRef>
          </c:tx>
          <c:spPr>
            <a:ln w="28575" cap="rnd">
              <a:solidFill>
                <a:schemeClr val="accent1"/>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FMSA!$H$74:$M$74</c:f>
              <c:numCache>
                <c:formatCode>"$"#,##0_);[Red]\("$"#,##0\)</c:formatCode>
                <c:ptCount val="6"/>
                <c:pt idx="0">
                  <c:v>51600</c:v>
                </c:pt>
                <c:pt idx="1">
                  <c:v>62436</c:v>
                </c:pt>
                <c:pt idx="2">
                  <c:v>76171.92</c:v>
                </c:pt>
                <c:pt idx="3">
                  <c:v>91406.303999999989</c:v>
                </c:pt>
                <c:pt idx="4">
                  <c:v>111515.69087999998</c:v>
                </c:pt>
                <c:pt idx="5">
                  <c:v>135937.62718272</c:v>
                </c:pt>
              </c:numCache>
            </c:numRef>
          </c:val>
          <c:smooth val="0"/>
          <c:extLst>
            <c:ext xmlns:c16="http://schemas.microsoft.com/office/drawing/2014/chart" uri="{C3380CC4-5D6E-409C-BE32-E72D297353CC}">
              <c16:uniqueId val="{00000000-2E4F-0140-9BE9-78CBB8DB6272}"/>
            </c:ext>
          </c:extLst>
        </c:ser>
        <c:ser>
          <c:idx val="1"/>
          <c:order val="1"/>
          <c:tx>
            <c:strRef>
              <c:f>FMSA!$A$75</c:f>
              <c:strCache>
                <c:ptCount val="1"/>
                <c:pt idx="0">
                  <c:v>Cost of Goods Sold:</c:v>
                </c:pt>
              </c:strCache>
            </c:strRef>
          </c:tx>
          <c:spPr>
            <a:ln w="28575" cap="rnd">
              <a:solidFill>
                <a:schemeClr val="accent2"/>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FMSA!$H$75:$M$75</c:f>
              <c:numCache>
                <c:formatCode>"$"#,##0_);[Red]\("$"#,##0\)</c:formatCode>
                <c:ptCount val="6"/>
                <c:pt idx="0">
                  <c:v>23736</c:v>
                </c:pt>
                <c:pt idx="1">
                  <c:v>28408.38</c:v>
                </c:pt>
                <c:pt idx="2">
                  <c:v>34429.707840000003</c:v>
                </c:pt>
                <c:pt idx="3">
                  <c:v>41132.836799999997</c:v>
                </c:pt>
                <c:pt idx="4">
                  <c:v>49624.48244159999</c:v>
                </c:pt>
                <c:pt idx="5">
                  <c:v>60070.837452043968</c:v>
                </c:pt>
              </c:numCache>
            </c:numRef>
          </c:val>
          <c:smooth val="0"/>
          <c:extLst>
            <c:ext xmlns:c16="http://schemas.microsoft.com/office/drawing/2014/chart" uri="{C3380CC4-5D6E-409C-BE32-E72D297353CC}">
              <c16:uniqueId val="{00000001-2E4F-0140-9BE9-78CBB8DB6272}"/>
            </c:ext>
          </c:extLst>
        </c:ser>
        <c:ser>
          <c:idx val="2"/>
          <c:order val="2"/>
          <c:tx>
            <c:strRef>
              <c:f>FMSA!$A$76</c:f>
              <c:strCache>
                <c:ptCount val="1"/>
                <c:pt idx="0">
                  <c:v>Gross Profit:</c:v>
                </c:pt>
              </c:strCache>
            </c:strRef>
          </c:tx>
          <c:spPr>
            <a:ln w="28575" cap="rnd">
              <a:solidFill>
                <a:schemeClr val="accent3"/>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FMSA!$H$76:$M$76</c:f>
              <c:numCache>
                <c:formatCode>"$"#,##0_);[Red]\("$"#,##0\)</c:formatCode>
                <c:ptCount val="6"/>
                <c:pt idx="0">
                  <c:v>27864</c:v>
                </c:pt>
                <c:pt idx="1">
                  <c:v>34027.619999999995</c:v>
                </c:pt>
                <c:pt idx="2">
                  <c:v>41742.212159999995</c:v>
                </c:pt>
                <c:pt idx="3">
                  <c:v>50273.467199999992</c:v>
                </c:pt>
                <c:pt idx="4">
                  <c:v>61891.20843839999</c:v>
                </c:pt>
                <c:pt idx="5">
                  <c:v>75866.789730676028</c:v>
                </c:pt>
              </c:numCache>
            </c:numRef>
          </c:val>
          <c:smooth val="0"/>
          <c:extLst>
            <c:ext xmlns:c16="http://schemas.microsoft.com/office/drawing/2014/chart" uri="{C3380CC4-5D6E-409C-BE32-E72D297353CC}">
              <c16:uniqueId val="{00000002-2E4F-0140-9BE9-78CBB8DB6272}"/>
            </c:ext>
          </c:extLst>
        </c:ser>
        <c:ser>
          <c:idx val="3"/>
          <c:order val="3"/>
          <c:tx>
            <c:strRef>
              <c:f>FMSA!$A$77</c:f>
              <c:strCache>
                <c:ptCount val="1"/>
                <c:pt idx="0">
                  <c:v>Operating Expenses:</c:v>
                </c:pt>
              </c:strCache>
            </c:strRef>
          </c:tx>
          <c:spPr>
            <a:ln w="28575" cap="rnd">
              <a:solidFill>
                <a:schemeClr val="accent4"/>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FMSA!$H$77:$M$77</c:f>
              <c:numCache>
                <c:formatCode>General</c:formatCode>
                <c:ptCount val="6"/>
              </c:numCache>
            </c:numRef>
          </c:val>
          <c:smooth val="0"/>
          <c:extLst>
            <c:ext xmlns:c16="http://schemas.microsoft.com/office/drawing/2014/chart" uri="{C3380CC4-5D6E-409C-BE32-E72D297353CC}">
              <c16:uniqueId val="{00000003-2E4F-0140-9BE9-78CBB8DB6272}"/>
            </c:ext>
          </c:extLst>
        </c:ser>
        <c:ser>
          <c:idx val="4"/>
          <c:order val="4"/>
          <c:tx>
            <c:strRef>
              <c:f>FMSA!$A$78</c:f>
              <c:strCache>
                <c:ptCount val="1"/>
                <c:pt idx="0">
                  <c:v>Research &amp; Development:</c:v>
                </c:pt>
              </c:strCache>
            </c:strRef>
          </c:tx>
          <c:spPr>
            <a:ln w="28575" cap="rnd">
              <a:solidFill>
                <a:schemeClr val="accent5"/>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FMSA!$H$78:$M$78</c:f>
              <c:numCache>
                <c:formatCode>"$"#,##0_);[Red]\("$"#,##0\)</c:formatCode>
                <c:ptCount val="6"/>
                <c:pt idx="0">
                  <c:v>774</c:v>
                </c:pt>
                <c:pt idx="1">
                  <c:v>936.54</c:v>
                </c:pt>
                <c:pt idx="2">
                  <c:v>952.149</c:v>
                </c:pt>
                <c:pt idx="3">
                  <c:v>1142.5788</c:v>
                </c:pt>
                <c:pt idx="4">
                  <c:v>1338.1882905599998</c:v>
                </c:pt>
                <c:pt idx="5">
                  <c:v>1474.923254932512</c:v>
                </c:pt>
              </c:numCache>
            </c:numRef>
          </c:val>
          <c:smooth val="0"/>
          <c:extLst>
            <c:ext xmlns:c16="http://schemas.microsoft.com/office/drawing/2014/chart" uri="{C3380CC4-5D6E-409C-BE32-E72D297353CC}">
              <c16:uniqueId val="{00000004-2E4F-0140-9BE9-78CBB8DB6272}"/>
            </c:ext>
          </c:extLst>
        </c:ser>
        <c:ser>
          <c:idx val="5"/>
          <c:order val="5"/>
          <c:tx>
            <c:strRef>
              <c:f>FMSA!$A$79</c:f>
              <c:strCache>
                <c:ptCount val="1"/>
                <c:pt idx="0">
                  <c:v>Selling, General &amp; Administrative:</c:v>
                </c:pt>
              </c:strCache>
            </c:strRef>
          </c:tx>
          <c:spPr>
            <a:ln w="28575" cap="rnd">
              <a:solidFill>
                <a:schemeClr val="accent6"/>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FMSA!$H$79:$M$79</c:f>
              <c:numCache>
                <c:formatCode>"$"#,##0_);[Red]\("$"#,##0\)</c:formatCode>
                <c:ptCount val="6"/>
                <c:pt idx="0">
                  <c:v>3096</c:v>
                </c:pt>
                <c:pt idx="1">
                  <c:v>3808.596</c:v>
                </c:pt>
                <c:pt idx="2">
                  <c:v>4684.5730800000001</c:v>
                </c:pt>
                <c:pt idx="3">
                  <c:v>5667.1908479999993</c:v>
                </c:pt>
                <c:pt idx="4">
                  <c:v>6969.7306799999988</c:v>
                </c:pt>
                <c:pt idx="5">
                  <c:v>8591.2580379479041</c:v>
                </c:pt>
              </c:numCache>
            </c:numRef>
          </c:val>
          <c:smooth val="0"/>
          <c:extLst>
            <c:ext xmlns:c16="http://schemas.microsoft.com/office/drawing/2014/chart" uri="{C3380CC4-5D6E-409C-BE32-E72D297353CC}">
              <c16:uniqueId val="{00000005-2E4F-0140-9BE9-78CBB8DB6272}"/>
            </c:ext>
          </c:extLst>
        </c:ser>
        <c:ser>
          <c:idx val="6"/>
          <c:order val="6"/>
          <c:tx>
            <c:strRef>
              <c:f>FMSA!$A$80</c:f>
              <c:strCache>
                <c:ptCount val="1"/>
                <c:pt idx="0">
                  <c:v>Total Operating Expenses:</c:v>
                </c:pt>
              </c:strCache>
            </c:strRef>
          </c:tx>
          <c:spPr>
            <a:ln w="28575" cap="rnd">
              <a:solidFill>
                <a:schemeClr val="accent1">
                  <a:lumMod val="60000"/>
                </a:schemeClr>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FMSA!$H$80:$M$80</c:f>
              <c:numCache>
                <c:formatCode>"$"#,##0_);[Red]\("$"#,##0\)</c:formatCode>
                <c:ptCount val="6"/>
                <c:pt idx="0">
                  <c:v>3870</c:v>
                </c:pt>
                <c:pt idx="1">
                  <c:v>4745.1360000000004</c:v>
                </c:pt>
                <c:pt idx="2">
                  <c:v>5636.7220800000005</c:v>
                </c:pt>
                <c:pt idx="3">
                  <c:v>6809.7696479999995</c:v>
                </c:pt>
                <c:pt idx="4">
                  <c:v>8307.9189705599983</c:v>
                </c:pt>
                <c:pt idx="5">
                  <c:v>10066.181292880416</c:v>
                </c:pt>
              </c:numCache>
            </c:numRef>
          </c:val>
          <c:smooth val="0"/>
          <c:extLst>
            <c:ext xmlns:c16="http://schemas.microsoft.com/office/drawing/2014/chart" uri="{C3380CC4-5D6E-409C-BE32-E72D297353CC}">
              <c16:uniqueId val="{00000006-2E4F-0140-9BE9-78CBB8DB6272}"/>
            </c:ext>
          </c:extLst>
        </c:ser>
        <c:dLbls>
          <c:showLegendKey val="0"/>
          <c:showVal val="0"/>
          <c:showCatName val="0"/>
          <c:showSerName val="0"/>
          <c:showPercent val="0"/>
          <c:showBubbleSize val="0"/>
        </c:dLbls>
        <c:smooth val="0"/>
        <c:axId val="1373705840"/>
        <c:axId val="1446191247"/>
      </c:lineChart>
      <c:catAx>
        <c:axId val="1373705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6191247"/>
        <c:crosses val="autoZero"/>
        <c:auto val="1"/>
        <c:lblAlgn val="ctr"/>
        <c:lblOffset val="100"/>
        <c:noMultiLvlLbl val="0"/>
      </c:catAx>
      <c:valAx>
        <c:axId val="144619124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705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Projected Net Income: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FMSA!$A$93</c:f>
              <c:strCache>
                <c:ptCount val="1"/>
                <c:pt idx="0">
                  <c:v>Net Income:</c:v>
                </c:pt>
              </c:strCache>
            </c:strRef>
          </c:tx>
          <c:spPr>
            <a:solidFill>
              <a:schemeClr val="accent1"/>
            </a:solidFill>
            <a:ln>
              <a:noFill/>
            </a:ln>
            <a:effectLst/>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FMSA!$H$93:$M$93</c:f>
              <c:numCache>
                <c:formatCode>"$"#,##0_);[Red]\("$"#,##0\)</c:formatCode>
                <c:ptCount val="6"/>
                <c:pt idx="0">
                  <c:v>17115.696764676366</c:v>
                </c:pt>
                <c:pt idx="1">
                  <c:v>20827.38910879154</c:v>
                </c:pt>
                <c:pt idx="2">
                  <c:v>26131.045068155545</c:v>
                </c:pt>
                <c:pt idx="3">
                  <c:v>31333.247879589995</c:v>
                </c:pt>
                <c:pt idx="4">
                  <c:v>39228.463036993635</c:v>
                </c:pt>
                <c:pt idx="5">
                  <c:v>47384.086816916184</c:v>
                </c:pt>
              </c:numCache>
            </c:numRef>
          </c:val>
          <c:extLst>
            <c:ext xmlns:c16="http://schemas.microsoft.com/office/drawing/2014/chart" uri="{C3380CC4-5D6E-409C-BE32-E72D297353CC}">
              <c16:uniqueId val="{00000000-D941-4C7B-935D-C9EF0EE68189}"/>
            </c:ext>
          </c:extLst>
        </c:ser>
        <c:dLbls>
          <c:showLegendKey val="0"/>
          <c:showVal val="0"/>
          <c:showCatName val="0"/>
          <c:showSerName val="0"/>
          <c:showPercent val="0"/>
          <c:showBubbleSize val="0"/>
        </c:dLbls>
        <c:gapWidth val="182"/>
        <c:axId val="294020384"/>
        <c:axId val="294022784"/>
      </c:barChart>
      <c:catAx>
        <c:axId val="2940203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4022784"/>
        <c:crosses val="autoZero"/>
        <c:auto val="1"/>
        <c:lblAlgn val="ctr"/>
        <c:lblOffset val="100"/>
        <c:noMultiLvlLbl val="0"/>
      </c:catAx>
      <c:valAx>
        <c:axId val="294022784"/>
        <c:scaling>
          <c:orientation val="minMax"/>
        </c:scaling>
        <c:delete val="0"/>
        <c:axPos val="b"/>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4020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Projected Cash &amp; Cash Equivalents: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FMSA!$A$186</c:f>
              <c:strCache>
                <c:ptCount val="1"/>
                <c:pt idx="0">
                  <c:v>Cash &amp; Cash Equivalents: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FMSA!$H$149:$M$149</c:f>
              <c:strCache>
                <c:ptCount val="6"/>
                <c:pt idx="0">
                  <c:v>FY 2020E</c:v>
                </c:pt>
                <c:pt idx="1">
                  <c:v>FY 2021E</c:v>
                </c:pt>
                <c:pt idx="2">
                  <c:v>FY 2022E</c:v>
                </c:pt>
                <c:pt idx="3">
                  <c:v>FY 2023E</c:v>
                </c:pt>
                <c:pt idx="4">
                  <c:v>FY 2024E</c:v>
                </c:pt>
                <c:pt idx="5">
                  <c:v>FY 2025E</c:v>
                </c:pt>
              </c:strCache>
            </c:strRef>
          </c:cat>
          <c:val>
            <c:numRef>
              <c:f>FMSA!$H$186:$M$186</c:f>
              <c:numCache>
                <c:formatCode>"$"#,##0_);[Red]\("$"#,##0\)</c:formatCode>
                <c:ptCount val="6"/>
                <c:pt idx="0">
                  <c:v>23728.319154093733</c:v>
                </c:pt>
                <c:pt idx="1">
                  <c:v>46905.696132213387</c:v>
                </c:pt>
                <c:pt idx="2">
                  <c:v>75944.436811649357</c:v>
                </c:pt>
                <c:pt idx="3">
                  <c:v>110926.54506866779</c:v>
                </c:pt>
                <c:pt idx="4">
                  <c:v>154930.1674771902</c:v>
                </c:pt>
                <c:pt idx="5">
                  <c:v>208365.57829512155</c:v>
                </c:pt>
              </c:numCache>
            </c:numRef>
          </c:val>
          <c:smooth val="0"/>
          <c:extLst>
            <c:ext xmlns:c16="http://schemas.microsoft.com/office/drawing/2014/chart" uri="{C3380CC4-5D6E-409C-BE32-E72D297353CC}">
              <c16:uniqueId val="{00000000-B9AA-4937-8AD1-67985685A536}"/>
            </c:ext>
          </c:extLst>
        </c:ser>
        <c:dLbls>
          <c:showLegendKey val="0"/>
          <c:showVal val="0"/>
          <c:showCatName val="0"/>
          <c:showSerName val="0"/>
          <c:showPercent val="0"/>
          <c:showBubbleSize val="0"/>
        </c:dLbls>
        <c:marker val="1"/>
        <c:smooth val="0"/>
        <c:axId val="1164746224"/>
        <c:axId val="1164750064"/>
      </c:lineChart>
      <c:catAx>
        <c:axId val="1164746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4750064"/>
        <c:crosses val="autoZero"/>
        <c:auto val="1"/>
        <c:lblAlgn val="ctr"/>
        <c:lblOffset val="100"/>
        <c:noMultiLvlLbl val="0"/>
      </c:catAx>
      <c:valAx>
        <c:axId val="116475006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47462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5">
                    <a:lumMod val="50000"/>
                  </a:schemeClr>
                </a:solidFill>
                <a:latin typeface="+mn-lt"/>
                <a:ea typeface="+mn-ea"/>
                <a:cs typeface="+mn-cs"/>
              </a:defRPr>
            </a:pPr>
            <a:r>
              <a:rPr lang="en-US">
                <a:solidFill>
                  <a:schemeClr val="accent5">
                    <a:lumMod val="50000"/>
                  </a:schemeClr>
                </a:solidFill>
              </a:rPr>
              <a:t>NPV</a:t>
            </a:r>
            <a:r>
              <a:rPr lang="en-US" baseline="0">
                <a:solidFill>
                  <a:schemeClr val="accent5">
                    <a:lumMod val="50000"/>
                  </a:schemeClr>
                </a:solidFill>
              </a:rPr>
              <a:t> and IRR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accent5">
                  <a:lumMod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FMSA!$E$15</c:f>
              <c:strCache>
                <c:ptCount val="1"/>
                <c:pt idx="0">
                  <c:v>NPV</c:v>
                </c:pt>
              </c:strCache>
            </c:strRef>
          </c:tx>
          <c:spPr>
            <a:solidFill>
              <a:schemeClr val="accent1"/>
            </a:solidFill>
            <a:ln>
              <a:noFill/>
            </a:ln>
            <a:effectLst/>
          </c:spPr>
          <c:invertIfNegative val="0"/>
          <c:cat>
            <c:strRef>
              <c:f>FMSA!$F$14:$I$14</c:f>
              <c:strCache>
                <c:ptCount val="4"/>
                <c:pt idx="0">
                  <c:v>Scenario 1</c:v>
                </c:pt>
                <c:pt idx="1">
                  <c:v>Scenario 2</c:v>
                </c:pt>
                <c:pt idx="2">
                  <c:v>Scenario 3</c:v>
                </c:pt>
                <c:pt idx="3">
                  <c:v>Senario 4</c:v>
                </c:pt>
              </c:strCache>
            </c:strRef>
          </c:cat>
          <c:val>
            <c:numRef>
              <c:f>FMSA!$F$15:$I$15</c:f>
              <c:numCache>
                <c:formatCode>_("$"* #,##0.00_);_("$"* \(#,##0.00\);_("$"* "-"??_);_(@_)</c:formatCode>
                <c:ptCount val="4"/>
                <c:pt idx="0">
                  <c:v>52806.217183286877</c:v>
                </c:pt>
                <c:pt idx="1">
                  <c:v>79403.834788674867</c:v>
                </c:pt>
                <c:pt idx="2">
                  <c:v>104924.46994820912</c:v>
                </c:pt>
                <c:pt idx="3">
                  <c:v>99118.051750589657</c:v>
                </c:pt>
              </c:numCache>
            </c:numRef>
          </c:val>
          <c:extLst>
            <c:ext xmlns:c16="http://schemas.microsoft.com/office/drawing/2014/chart" uri="{C3380CC4-5D6E-409C-BE32-E72D297353CC}">
              <c16:uniqueId val="{00000000-1D3B-4AB4-96B3-C01A7CC36376}"/>
            </c:ext>
          </c:extLst>
        </c:ser>
        <c:dLbls>
          <c:showLegendKey val="0"/>
          <c:showVal val="0"/>
          <c:showCatName val="0"/>
          <c:showSerName val="0"/>
          <c:showPercent val="0"/>
          <c:showBubbleSize val="0"/>
        </c:dLbls>
        <c:gapWidth val="219"/>
        <c:overlap val="-27"/>
        <c:axId val="909327391"/>
        <c:axId val="909333151"/>
      </c:barChart>
      <c:lineChart>
        <c:grouping val="standard"/>
        <c:varyColors val="0"/>
        <c:ser>
          <c:idx val="1"/>
          <c:order val="1"/>
          <c:tx>
            <c:strRef>
              <c:f>FMSA!$E$16</c:f>
              <c:strCache>
                <c:ptCount val="1"/>
                <c:pt idx="0">
                  <c:v>IRR</c:v>
                </c:pt>
              </c:strCache>
            </c:strRef>
          </c:tx>
          <c:spPr>
            <a:ln w="28575" cap="rnd">
              <a:solidFill>
                <a:schemeClr val="accent2"/>
              </a:solidFill>
              <a:round/>
            </a:ln>
            <a:effectLst/>
          </c:spPr>
          <c:marker>
            <c:symbol val="none"/>
          </c:marker>
          <c:cat>
            <c:strRef>
              <c:f>FMSA!$F$14:$I$14</c:f>
              <c:strCache>
                <c:ptCount val="4"/>
                <c:pt idx="0">
                  <c:v>Scenario 1</c:v>
                </c:pt>
                <c:pt idx="1">
                  <c:v>Scenario 2</c:v>
                </c:pt>
                <c:pt idx="2">
                  <c:v>Scenario 3</c:v>
                </c:pt>
                <c:pt idx="3">
                  <c:v>Senario 4</c:v>
                </c:pt>
              </c:strCache>
            </c:strRef>
          </c:cat>
          <c:val>
            <c:numRef>
              <c:f>FMSA!$F$16:$I$16</c:f>
              <c:numCache>
                <c:formatCode>0%</c:formatCode>
                <c:ptCount val="4"/>
                <c:pt idx="0">
                  <c:v>0.21289113293287842</c:v>
                </c:pt>
                <c:pt idx="1">
                  <c:v>0.25607507696440135</c:v>
                </c:pt>
                <c:pt idx="2">
                  <c:v>0.28966280730884009</c:v>
                </c:pt>
                <c:pt idx="3">
                  <c:v>0.27770644588410609</c:v>
                </c:pt>
              </c:numCache>
            </c:numRef>
          </c:val>
          <c:smooth val="0"/>
          <c:extLst>
            <c:ext xmlns:c16="http://schemas.microsoft.com/office/drawing/2014/chart" uri="{C3380CC4-5D6E-409C-BE32-E72D297353CC}">
              <c16:uniqueId val="{00000001-1D3B-4AB4-96B3-C01A7CC36376}"/>
            </c:ext>
          </c:extLst>
        </c:ser>
        <c:dLbls>
          <c:showLegendKey val="0"/>
          <c:showVal val="0"/>
          <c:showCatName val="0"/>
          <c:showSerName val="0"/>
          <c:showPercent val="0"/>
          <c:showBubbleSize val="0"/>
        </c:dLbls>
        <c:marker val="1"/>
        <c:smooth val="0"/>
        <c:axId val="909329791"/>
        <c:axId val="909336511"/>
      </c:lineChart>
      <c:catAx>
        <c:axId val="909327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9333151"/>
        <c:crosses val="autoZero"/>
        <c:auto val="1"/>
        <c:lblAlgn val="ctr"/>
        <c:lblOffset val="100"/>
        <c:noMultiLvlLbl val="0"/>
      </c:catAx>
      <c:valAx>
        <c:axId val="909333151"/>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9327391"/>
        <c:crosses val="autoZero"/>
        <c:crossBetween val="between"/>
      </c:valAx>
      <c:valAx>
        <c:axId val="909336511"/>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9329791"/>
        <c:crosses val="max"/>
        <c:crossBetween val="between"/>
      </c:valAx>
      <c:catAx>
        <c:axId val="909329791"/>
        <c:scaling>
          <c:orientation val="minMax"/>
        </c:scaling>
        <c:delete val="1"/>
        <c:axPos val="b"/>
        <c:numFmt formatCode="General" sourceLinked="1"/>
        <c:majorTickMark val="none"/>
        <c:minorTickMark val="none"/>
        <c:tickLblPos val="nextTo"/>
        <c:crossAx val="90933651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Projected Cash Flow from Operations: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ubbleChart>
        <c:varyColors val="0"/>
        <c:ser>
          <c:idx val="0"/>
          <c:order val="0"/>
          <c:tx>
            <c:strRef>
              <c:f>FMSA!$A$165</c:f>
              <c:strCache>
                <c:ptCount val="1"/>
                <c:pt idx="0">
                  <c:v>Cash Flow from Operations:</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Calibri"/>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yVal>
            <c:numRef>
              <c:f>FMSA!$H$165:$M$165</c:f>
              <c:numCache>
                <c:formatCode>"$"#,##0_);[Red]\("$"#,##0\)</c:formatCode>
                <c:ptCount val="6"/>
                <c:pt idx="0">
                  <c:v>18138.119154093733</c:v>
                </c:pt>
                <c:pt idx="1">
                  <c:v>24838.464978119653</c:v>
                </c:pt>
                <c:pt idx="2">
                  <c:v>31065.268039435963</c:v>
                </c:pt>
                <c:pt idx="3">
                  <c:v>37413.941089018437</c:v>
                </c:pt>
                <c:pt idx="4">
                  <c:v>46970.458463562391</c:v>
                </c:pt>
                <c:pt idx="5">
                  <c:v>57051.983969025125</c:v>
                </c:pt>
              </c:numCache>
            </c:numRef>
          </c:yVal>
          <c:bubbleSize>
            <c:numLit>
              <c:formatCode>General</c:formatCode>
              <c:ptCount val="6"/>
              <c:pt idx="0">
                <c:v>1</c:v>
              </c:pt>
              <c:pt idx="1">
                <c:v>1</c:v>
              </c:pt>
              <c:pt idx="2">
                <c:v>1</c:v>
              </c:pt>
              <c:pt idx="3">
                <c:v>1</c:v>
              </c:pt>
              <c:pt idx="4">
                <c:v>1</c:v>
              </c:pt>
              <c:pt idx="5">
                <c:v>1</c:v>
              </c:pt>
            </c:numLit>
          </c:bubbleSize>
          <c:bubble3D val="0"/>
          <c:extLst>
            <c:ext xmlns:c16="http://schemas.microsoft.com/office/drawing/2014/chart" uri="{C3380CC4-5D6E-409C-BE32-E72D297353CC}">
              <c16:uniqueId val="{00000000-B072-4DE2-A615-D18251AA05AE}"/>
            </c:ext>
          </c:extLst>
        </c:ser>
        <c:dLbls>
          <c:dLblPos val="ctr"/>
          <c:showLegendKey val="0"/>
          <c:showVal val="1"/>
          <c:showCatName val="0"/>
          <c:showSerName val="0"/>
          <c:showPercent val="0"/>
          <c:showBubbleSize val="0"/>
        </c:dLbls>
        <c:bubbleScale val="100"/>
        <c:showNegBubbles val="0"/>
        <c:axId val="1089697760"/>
        <c:axId val="1089695840"/>
      </c:bubbleChart>
      <c:valAx>
        <c:axId val="1089697760"/>
        <c:scaling>
          <c:orientation val="minMax"/>
        </c:scaling>
        <c:delete val="0"/>
        <c:axPos val="b"/>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089695840"/>
        <c:crosses val="autoZero"/>
        <c:crossBetween val="midCat"/>
      </c:valAx>
      <c:valAx>
        <c:axId val="1089695840"/>
        <c:scaling>
          <c:orientation val="minMax"/>
        </c:scaling>
        <c:delete val="0"/>
        <c:axPos val="l"/>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108969776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ndard"/>
        <c:varyColors val="0"/>
        <c:ser>
          <c:idx val="0"/>
          <c:order val="0"/>
          <c:spPr>
            <a:solidFill>
              <a:schemeClr val="accent1"/>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FMSA!$H$100</c:f>
              <c:numCache>
                <c:formatCode>"$"#,##0_);[Red]\("$"#,##0\)</c:formatCode>
                <c:ptCount val="1"/>
                <c:pt idx="0">
                  <c:v>16765.319154093733</c:v>
                </c:pt>
              </c:numCache>
            </c:numRef>
          </c:val>
          <c:extLst>
            <c:ext xmlns:c16="http://schemas.microsoft.com/office/drawing/2014/chart" uri="{C3380CC4-5D6E-409C-BE32-E72D297353CC}">
              <c16:uniqueId val="{00000000-666F-4706-A60F-C2EDBF44D061}"/>
            </c:ext>
          </c:extLst>
        </c:ser>
        <c:ser>
          <c:idx val="1"/>
          <c:order val="1"/>
          <c:spPr>
            <a:solidFill>
              <a:schemeClr val="accent2"/>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FMSA!$I$100</c:f>
              <c:numCache>
                <c:formatCode>"$"#,##0_);[Red]\("$"#,##0\)</c:formatCode>
                <c:ptCount val="1"/>
                <c:pt idx="0">
                  <c:v>23177.376978119653</c:v>
                </c:pt>
              </c:numCache>
            </c:numRef>
          </c:val>
          <c:extLst>
            <c:ext xmlns:c16="http://schemas.microsoft.com/office/drawing/2014/chart" uri="{C3380CC4-5D6E-409C-BE32-E72D297353CC}">
              <c16:uniqueId val="{00000001-666F-4706-A60F-C2EDBF44D061}"/>
            </c:ext>
          </c:extLst>
        </c:ser>
        <c:ser>
          <c:idx val="2"/>
          <c:order val="2"/>
          <c:spPr>
            <a:solidFill>
              <a:schemeClr val="accent3"/>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FMSA!$J$100</c:f>
              <c:numCache>
                <c:formatCode>"$"#,##0_);[Red]\("$"#,##0\)</c:formatCode>
                <c:ptCount val="1"/>
                <c:pt idx="0">
                  <c:v>29038.740679435963</c:v>
                </c:pt>
              </c:numCache>
            </c:numRef>
          </c:val>
          <c:extLst>
            <c:ext xmlns:c16="http://schemas.microsoft.com/office/drawing/2014/chart" uri="{C3380CC4-5D6E-409C-BE32-E72D297353CC}">
              <c16:uniqueId val="{00000002-666F-4706-A60F-C2EDBF44D061}"/>
            </c:ext>
          </c:extLst>
        </c:ser>
        <c:ser>
          <c:idx val="3"/>
          <c:order val="3"/>
          <c:spPr>
            <a:solidFill>
              <a:schemeClr val="accent4"/>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FMSA!$K$100</c:f>
              <c:numCache>
                <c:formatCode>"$"#,##0_);[Red]\("$"#,##0\)</c:formatCode>
                <c:ptCount val="1"/>
                <c:pt idx="0">
                  <c:v>34982.108257018437</c:v>
                </c:pt>
              </c:numCache>
            </c:numRef>
          </c:val>
          <c:extLst>
            <c:ext xmlns:c16="http://schemas.microsoft.com/office/drawing/2014/chart" uri="{C3380CC4-5D6E-409C-BE32-E72D297353CC}">
              <c16:uniqueId val="{00000003-666F-4706-A60F-C2EDBF44D061}"/>
            </c:ext>
          </c:extLst>
        </c:ser>
        <c:ser>
          <c:idx val="4"/>
          <c:order val="4"/>
          <c:spPr>
            <a:solidFill>
              <a:schemeClr val="accent5"/>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FMSA!$L$100</c:f>
              <c:numCache>
                <c:formatCode>"$"#,##0_);[Red]\("$"#,##0\)</c:formatCode>
                <c:ptCount val="1"/>
                <c:pt idx="0">
                  <c:v>44003.622408522395</c:v>
                </c:pt>
              </c:numCache>
            </c:numRef>
          </c:val>
          <c:extLst>
            <c:ext xmlns:c16="http://schemas.microsoft.com/office/drawing/2014/chart" uri="{C3380CC4-5D6E-409C-BE32-E72D297353CC}">
              <c16:uniqueId val="{00000004-666F-4706-A60F-C2EDBF44D061}"/>
            </c:ext>
          </c:extLst>
        </c:ser>
        <c:ser>
          <c:idx val="5"/>
          <c:order val="5"/>
          <c:spPr>
            <a:solidFill>
              <a:schemeClr val="accent6"/>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FMSA!$M$100</c:f>
              <c:numCache>
                <c:formatCode>"$"#,##0_);[Red]\("$"#,##0\)</c:formatCode>
                <c:ptCount val="1"/>
                <c:pt idx="0">
                  <c:v>53435.410817931363</c:v>
                </c:pt>
              </c:numCache>
            </c:numRef>
          </c:val>
          <c:extLst>
            <c:ext xmlns:c16="http://schemas.microsoft.com/office/drawing/2014/chart" uri="{C3380CC4-5D6E-409C-BE32-E72D297353CC}">
              <c16:uniqueId val="{00000005-666F-4706-A60F-C2EDBF44D061}"/>
            </c:ext>
          </c:extLst>
        </c:ser>
        <c:dLbls>
          <c:showLegendKey val="0"/>
          <c:showVal val="0"/>
          <c:showCatName val="0"/>
          <c:showSerName val="0"/>
          <c:showPercent val="0"/>
          <c:showBubbleSize val="0"/>
        </c:dLbls>
        <c:gapWidth val="150"/>
        <c:shape val="box"/>
        <c:axId val="992488511"/>
        <c:axId val="992487551"/>
        <c:axId val="1148967760"/>
      </c:bar3DChart>
      <c:catAx>
        <c:axId val="99248851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487551"/>
        <c:crosses val="autoZero"/>
        <c:auto val="1"/>
        <c:lblAlgn val="ctr"/>
        <c:lblOffset val="100"/>
        <c:noMultiLvlLbl val="0"/>
      </c:catAx>
      <c:valAx>
        <c:axId val="992487551"/>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488511"/>
        <c:crosses val="autoZero"/>
        <c:crossBetween val="between"/>
      </c:valAx>
      <c:serAx>
        <c:axId val="1148967760"/>
        <c:scaling>
          <c:orientation val="minMax"/>
        </c:scaling>
        <c:delete val="0"/>
        <c:axPos val="b"/>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487551"/>
        <c:crosses val="autoZero"/>
      </c:ser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NPV Based on Scenario</a:t>
            </a:r>
            <a:endParaRPr lang="en-US" sz="1400" b="1" i="0" u="none" strike="noStrike" baseline="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FMSA!$E$15</c:f>
              <c:strCache>
                <c:ptCount val="1"/>
                <c:pt idx="0">
                  <c:v>NPV</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6A2-438E-A739-30FDCE7E053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6A2-438E-A739-30FDCE7E053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6A2-438E-A739-30FDCE7E053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6A2-438E-A739-30FDCE7E053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FMSA!$F$14:$I$14</c:f>
              <c:strCache>
                <c:ptCount val="4"/>
                <c:pt idx="0">
                  <c:v>Scenario 1</c:v>
                </c:pt>
                <c:pt idx="1">
                  <c:v>Scenario 2</c:v>
                </c:pt>
                <c:pt idx="2">
                  <c:v>Scenario 3</c:v>
                </c:pt>
                <c:pt idx="3">
                  <c:v>Senario 4</c:v>
                </c:pt>
              </c:strCache>
            </c:strRef>
          </c:cat>
          <c:val>
            <c:numRef>
              <c:f>FMSA!$F$15:$I$15</c:f>
              <c:numCache>
                <c:formatCode>_("$"* #,##0.00_);_("$"* \(#,##0.00\);_("$"* "-"??_);_(@_)</c:formatCode>
                <c:ptCount val="4"/>
                <c:pt idx="0">
                  <c:v>52806.217183286877</c:v>
                </c:pt>
                <c:pt idx="1">
                  <c:v>79403.834788674867</c:v>
                </c:pt>
                <c:pt idx="2">
                  <c:v>104924.46994820912</c:v>
                </c:pt>
                <c:pt idx="3">
                  <c:v>99118.051750589657</c:v>
                </c:pt>
              </c:numCache>
            </c:numRef>
          </c:val>
          <c:extLst>
            <c:ext xmlns:c16="http://schemas.microsoft.com/office/drawing/2014/chart" uri="{C3380CC4-5D6E-409C-BE32-E72D297353CC}">
              <c16:uniqueId val="{00000000-BFAB-4661-AAF4-C19FDF8ED508}"/>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18706342957130359"/>
          <c:y val="0.82465223097112861"/>
          <c:w val="0.66476181102362197"/>
          <c:h val="0.147569991251093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FMSA!$A$47</c:f>
          <c:strCache>
            <c:ptCount val="1"/>
            <c:pt idx="0">
              <c:v>Revenue Growth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elete val="1"/>
          </c:dLbls>
          <c:cat>
            <c:strRef>
              <c:f>FMSA!$H$36:$M$36</c:f>
              <c:strCache>
                <c:ptCount val="6"/>
                <c:pt idx="0">
                  <c:v>FY 2020E</c:v>
                </c:pt>
                <c:pt idx="1">
                  <c:v>FY 2021E</c:v>
                </c:pt>
                <c:pt idx="2">
                  <c:v>FY 2022E</c:v>
                </c:pt>
                <c:pt idx="3">
                  <c:v>FY 2023E</c:v>
                </c:pt>
                <c:pt idx="4">
                  <c:v>FY 2024E</c:v>
                </c:pt>
                <c:pt idx="5">
                  <c:v>FY 2025E</c:v>
                </c:pt>
              </c:strCache>
            </c:strRef>
          </c:cat>
          <c:val>
            <c:numRef>
              <c:f>FMSA!$K$38</c:f>
              <c:numCache>
                <c:formatCode>0.0%</c:formatCode>
                <c:ptCount val="1"/>
                <c:pt idx="0">
                  <c:v>0</c:v>
                </c:pt>
              </c:numCache>
            </c:numRef>
          </c:val>
          <c:extLst>
            <c:ext xmlns:c16="http://schemas.microsoft.com/office/drawing/2014/chart" uri="{C3380CC4-5D6E-409C-BE32-E72D297353CC}">
              <c16:uniqueId val="{00000000-16B6-4F50-8C9F-B486B7FF59C7}"/>
            </c:ext>
          </c:extLst>
        </c:ser>
        <c:ser>
          <c:idx val="1"/>
          <c:order val="1"/>
          <c:spPr>
            <a:solidFill>
              <a:schemeClr val="accent3"/>
            </a:solidFill>
            <a:ln>
              <a:noFill/>
            </a:ln>
            <a:effectLst/>
          </c:spPr>
          <c:invertIfNegative val="0"/>
          <c:dLbls>
            <c:delete val="1"/>
          </c:dLbls>
          <c:cat>
            <c:strRef>
              <c:f>FMSA!$H$36:$M$36</c:f>
              <c:strCache>
                <c:ptCount val="6"/>
                <c:pt idx="0">
                  <c:v>FY 2020E</c:v>
                </c:pt>
                <c:pt idx="1">
                  <c:v>FY 2021E</c:v>
                </c:pt>
                <c:pt idx="2">
                  <c:v>FY 2022E</c:v>
                </c:pt>
                <c:pt idx="3">
                  <c:v>FY 2023E</c:v>
                </c:pt>
                <c:pt idx="4">
                  <c:v>FY 2024E</c:v>
                </c:pt>
                <c:pt idx="5">
                  <c:v>FY 2025E</c:v>
                </c:pt>
              </c:strCache>
            </c:strRef>
          </c:cat>
          <c:val>
            <c:numRef>
              <c:f>FMSA!$H$36:$M$36</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16B6-4F50-8C9F-B486B7FF59C7}"/>
            </c:ext>
          </c:extLst>
        </c:ser>
        <c:ser>
          <c:idx val="2"/>
          <c:order val="2"/>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5"/>
                </a:solidFill>
                <a:prstDash val="sysDot"/>
              </a:ln>
              <a:effectLst/>
            </c:spPr>
            <c:trendlineType val="exp"/>
            <c:dispRSqr val="0"/>
            <c:dispEq val="0"/>
          </c:trendline>
          <c:cat>
            <c:strRef>
              <c:f>FMSA!$H$36:$M$36</c:f>
              <c:strCache>
                <c:ptCount val="6"/>
                <c:pt idx="0">
                  <c:v>FY 2020E</c:v>
                </c:pt>
                <c:pt idx="1">
                  <c:v>FY 2021E</c:v>
                </c:pt>
                <c:pt idx="2">
                  <c:v>FY 2022E</c:v>
                </c:pt>
                <c:pt idx="3">
                  <c:v>FY 2023E</c:v>
                </c:pt>
                <c:pt idx="4">
                  <c:v>FY 2024E</c:v>
                </c:pt>
                <c:pt idx="5">
                  <c:v>FY 2025E</c:v>
                </c:pt>
              </c:strCache>
            </c:strRef>
          </c:cat>
          <c:val>
            <c:numRef>
              <c:f>FMSA!$H$47:$M$47</c:f>
              <c:numCache>
                <c:formatCode>0.0%</c:formatCode>
                <c:ptCount val="6"/>
                <c:pt idx="0">
                  <c:v>0.2</c:v>
                </c:pt>
                <c:pt idx="1">
                  <c:v>0.21</c:v>
                </c:pt>
                <c:pt idx="2">
                  <c:v>0.22</c:v>
                </c:pt>
                <c:pt idx="3">
                  <c:v>0.2</c:v>
                </c:pt>
                <c:pt idx="4">
                  <c:v>0.22</c:v>
                </c:pt>
                <c:pt idx="5">
                  <c:v>0.219</c:v>
                </c:pt>
              </c:numCache>
            </c:numRef>
          </c:val>
          <c:extLst>
            <c:ext xmlns:c16="http://schemas.microsoft.com/office/drawing/2014/chart" uri="{C3380CC4-5D6E-409C-BE32-E72D297353CC}">
              <c16:uniqueId val="{00000003-16B6-4F50-8C9F-B486B7FF59C7}"/>
            </c:ext>
          </c:extLst>
        </c:ser>
        <c:dLbls>
          <c:dLblPos val="inEnd"/>
          <c:showLegendKey val="0"/>
          <c:showVal val="1"/>
          <c:showCatName val="0"/>
          <c:showSerName val="0"/>
          <c:showPercent val="0"/>
          <c:showBubbleSize val="0"/>
        </c:dLbls>
        <c:gapWidth val="219"/>
        <c:overlap val="-27"/>
        <c:axId val="469889136"/>
        <c:axId val="1333332527"/>
      </c:barChart>
      <c:catAx>
        <c:axId val="469889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3332527"/>
        <c:crosses val="autoZero"/>
        <c:auto val="0"/>
        <c:lblAlgn val="ctr"/>
        <c:lblOffset val="100"/>
        <c:noMultiLvlLbl val="0"/>
      </c:catAx>
      <c:valAx>
        <c:axId val="1333332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Projected Revenue Growth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98891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FMSA!$H$21</c:f>
          <c:strCache>
            <c:ptCount val="1"/>
            <c:pt idx="0">
              <c:v>Projections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FMSA!$A$74</c:f>
              <c:strCache>
                <c:ptCount val="1"/>
                <c:pt idx="0">
                  <c:v>Revenue:</c:v>
                </c:pt>
              </c:strCache>
            </c:strRef>
          </c:tx>
          <c:spPr>
            <a:ln w="28575" cap="rnd">
              <a:solidFill>
                <a:schemeClr val="accent1"/>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FMSA!$H$74:$M$74</c:f>
              <c:numCache>
                <c:formatCode>"$"#,##0_);[Red]\("$"#,##0\)</c:formatCode>
                <c:ptCount val="6"/>
                <c:pt idx="0">
                  <c:v>51600</c:v>
                </c:pt>
                <c:pt idx="1">
                  <c:v>62436</c:v>
                </c:pt>
                <c:pt idx="2">
                  <c:v>76171.92</c:v>
                </c:pt>
                <c:pt idx="3">
                  <c:v>91406.303999999989</c:v>
                </c:pt>
                <c:pt idx="4">
                  <c:v>111515.69087999998</c:v>
                </c:pt>
                <c:pt idx="5">
                  <c:v>135937.62718272</c:v>
                </c:pt>
              </c:numCache>
            </c:numRef>
          </c:val>
          <c:smooth val="0"/>
          <c:extLst>
            <c:ext xmlns:c16="http://schemas.microsoft.com/office/drawing/2014/chart" uri="{C3380CC4-5D6E-409C-BE32-E72D297353CC}">
              <c16:uniqueId val="{00000000-8C95-48F9-B42F-8C7EA7272E69}"/>
            </c:ext>
          </c:extLst>
        </c:ser>
        <c:ser>
          <c:idx val="1"/>
          <c:order val="1"/>
          <c:tx>
            <c:strRef>
              <c:f>FMSA!$A$75</c:f>
              <c:strCache>
                <c:ptCount val="1"/>
                <c:pt idx="0">
                  <c:v>Cost of Goods Sold:</c:v>
                </c:pt>
              </c:strCache>
            </c:strRef>
          </c:tx>
          <c:spPr>
            <a:ln w="28575" cap="rnd">
              <a:solidFill>
                <a:schemeClr val="accent2"/>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FMSA!$H$75:$M$75</c:f>
              <c:numCache>
                <c:formatCode>"$"#,##0_);[Red]\("$"#,##0\)</c:formatCode>
                <c:ptCount val="6"/>
                <c:pt idx="0">
                  <c:v>23736</c:v>
                </c:pt>
                <c:pt idx="1">
                  <c:v>28408.38</c:v>
                </c:pt>
                <c:pt idx="2">
                  <c:v>34429.707840000003</c:v>
                </c:pt>
                <c:pt idx="3">
                  <c:v>41132.836799999997</c:v>
                </c:pt>
                <c:pt idx="4">
                  <c:v>49624.48244159999</c:v>
                </c:pt>
                <c:pt idx="5">
                  <c:v>60070.837452043968</c:v>
                </c:pt>
              </c:numCache>
            </c:numRef>
          </c:val>
          <c:smooth val="0"/>
          <c:extLst>
            <c:ext xmlns:c16="http://schemas.microsoft.com/office/drawing/2014/chart" uri="{C3380CC4-5D6E-409C-BE32-E72D297353CC}">
              <c16:uniqueId val="{00000001-8C95-48F9-B42F-8C7EA7272E69}"/>
            </c:ext>
          </c:extLst>
        </c:ser>
        <c:ser>
          <c:idx val="2"/>
          <c:order val="2"/>
          <c:tx>
            <c:strRef>
              <c:f>FMSA!$A$76</c:f>
              <c:strCache>
                <c:ptCount val="1"/>
                <c:pt idx="0">
                  <c:v>Gross Profit:</c:v>
                </c:pt>
              </c:strCache>
            </c:strRef>
          </c:tx>
          <c:spPr>
            <a:ln w="28575" cap="rnd">
              <a:solidFill>
                <a:schemeClr val="accent3"/>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FMSA!$H$76:$M$76</c:f>
              <c:numCache>
                <c:formatCode>"$"#,##0_);[Red]\("$"#,##0\)</c:formatCode>
                <c:ptCount val="6"/>
                <c:pt idx="0">
                  <c:v>27864</c:v>
                </c:pt>
                <c:pt idx="1">
                  <c:v>34027.619999999995</c:v>
                </c:pt>
                <c:pt idx="2">
                  <c:v>41742.212159999995</c:v>
                </c:pt>
                <c:pt idx="3">
                  <c:v>50273.467199999992</c:v>
                </c:pt>
                <c:pt idx="4">
                  <c:v>61891.20843839999</c:v>
                </c:pt>
                <c:pt idx="5">
                  <c:v>75866.789730676028</c:v>
                </c:pt>
              </c:numCache>
            </c:numRef>
          </c:val>
          <c:smooth val="0"/>
          <c:extLst>
            <c:ext xmlns:c16="http://schemas.microsoft.com/office/drawing/2014/chart" uri="{C3380CC4-5D6E-409C-BE32-E72D297353CC}">
              <c16:uniqueId val="{00000002-8C95-48F9-B42F-8C7EA7272E69}"/>
            </c:ext>
          </c:extLst>
        </c:ser>
        <c:ser>
          <c:idx val="3"/>
          <c:order val="3"/>
          <c:tx>
            <c:strRef>
              <c:f>FMSA!$A$77</c:f>
              <c:strCache>
                <c:ptCount val="1"/>
                <c:pt idx="0">
                  <c:v>Operating Expenses:</c:v>
                </c:pt>
              </c:strCache>
            </c:strRef>
          </c:tx>
          <c:spPr>
            <a:ln w="28575" cap="rnd">
              <a:solidFill>
                <a:schemeClr val="accent4"/>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FMSA!$H$77:$M$77</c:f>
              <c:numCache>
                <c:formatCode>General</c:formatCode>
                <c:ptCount val="6"/>
              </c:numCache>
            </c:numRef>
          </c:val>
          <c:smooth val="0"/>
          <c:extLst>
            <c:ext xmlns:c16="http://schemas.microsoft.com/office/drawing/2014/chart" uri="{C3380CC4-5D6E-409C-BE32-E72D297353CC}">
              <c16:uniqueId val="{00000003-8C95-48F9-B42F-8C7EA7272E69}"/>
            </c:ext>
          </c:extLst>
        </c:ser>
        <c:ser>
          <c:idx val="4"/>
          <c:order val="4"/>
          <c:tx>
            <c:strRef>
              <c:f>FMSA!$A$78</c:f>
              <c:strCache>
                <c:ptCount val="1"/>
                <c:pt idx="0">
                  <c:v>Research &amp; Development:</c:v>
                </c:pt>
              </c:strCache>
            </c:strRef>
          </c:tx>
          <c:spPr>
            <a:ln w="28575" cap="rnd">
              <a:solidFill>
                <a:schemeClr val="accent5"/>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FMSA!$H$78:$M$78</c:f>
              <c:numCache>
                <c:formatCode>"$"#,##0_);[Red]\("$"#,##0\)</c:formatCode>
                <c:ptCount val="6"/>
                <c:pt idx="0">
                  <c:v>774</c:v>
                </c:pt>
                <c:pt idx="1">
                  <c:v>936.54</c:v>
                </c:pt>
                <c:pt idx="2">
                  <c:v>952.149</c:v>
                </c:pt>
                <c:pt idx="3">
                  <c:v>1142.5788</c:v>
                </c:pt>
                <c:pt idx="4">
                  <c:v>1338.1882905599998</c:v>
                </c:pt>
                <c:pt idx="5">
                  <c:v>1474.923254932512</c:v>
                </c:pt>
              </c:numCache>
            </c:numRef>
          </c:val>
          <c:smooth val="0"/>
          <c:extLst>
            <c:ext xmlns:c16="http://schemas.microsoft.com/office/drawing/2014/chart" uri="{C3380CC4-5D6E-409C-BE32-E72D297353CC}">
              <c16:uniqueId val="{00000004-8C95-48F9-B42F-8C7EA7272E69}"/>
            </c:ext>
          </c:extLst>
        </c:ser>
        <c:ser>
          <c:idx val="5"/>
          <c:order val="5"/>
          <c:tx>
            <c:strRef>
              <c:f>FMSA!$A$79</c:f>
              <c:strCache>
                <c:ptCount val="1"/>
                <c:pt idx="0">
                  <c:v>Selling, General &amp; Administrative:</c:v>
                </c:pt>
              </c:strCache>
            </c:strRef>
          </c:tx>
          <c:spPr>
            <a:ln w="28575" cap="rnd">
              <a:solidFill>
                <a:schemeClr val="accent6"/>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FMSA!$H$79:$M$79</c:f>
              <c:numCache>
                <c:formatCode>"$"#,##0_);[Red]\("$"#,##0\)</c:formatCode>
                <c:ptCount val="6"/>
                <c:pt idx="0">
                  <c:v>3096</c:v>
                </c:pt>
                <c:pt idx="1">
                  <c:v>3808.596</c:v>
                </c:pt>
                <c:pt idx="2">
                  <c:v>4684.5730800000001</c:v>
                </c:pt>
                <c:pt idx="3">
                  <c:v>5667.1908479999993</c:v>
                </c:pt>
                <c:pt idx="4">
                  <c:v>6969.7306799999988</c:v>
                </c:pt>
                <c:pt idx="5">
                  <c:v>8591.2580379479041</c:v>
                </c:pt>
              </c:numCache>
            </c:numRef>
          </c:val>
          <c:smooth val="0"/>
          <c:extLst>
            <c:ext xmlns:c16="http://schemas.microsoft.com/office/drawing/2014/chart" uri="{C3380CC4-5D6E-409C-BE32-E72D297353CC}">
              <c16:uniqueId val="{00000005-8C95-48F9-B42F-8C7EA7272E69}"/>
            </c:ext>
          </c:extLst>
        </c:ser>
        <c:ser>
          <c:idx val="6"/>
          <c:order val="6"/>
          <c:tx>
            <c:strRef>
              <c:f>FMSA!$A$80</c:f>
              <c:strCache>
                <c:ptCount val="1"/>
                <c:pt idx="0">
                  <c:v>Total Operating Expenses:</c:v>
                </c:pt>
              </c:strCache>
            </c:strRef>
          </c:tx>
          <c:spPr>
            <a:ln w="28575" cap="rnd">
              <a:solidFill>
                <a:schemeClr val="accent1">
                  <a:lumMod val="60000"/>
                </a:schemeClr>
              </a:solidFill>
              <a:round/>
            </a:ln>
            <a:effectLst/>
          </c:spPr>
          <c:marker>
            <c:symbol val="none"/>
          </c:marker>
          <c:cat>
            <c:strRef>
              <c:f>FMSA!$H$72:$M$72</c:f>
              <c:strCache>
                <c:ptCount val="6"/>
                <c:pt idx="0">
                  <c:v>FY 2020E</c:v>
                </c:pt>
                <c:pt idx="1">
                  <c:v>FY 2021E</c:v>
                </c:pt>
                <c:pt idx="2">
                  <c:v>FY 2022E</c:v>
                </c:pt>
                <c:pt idx="3">
                  <c:v>FY 2023E</c:v>
                </c:pt>
                <c:pt idx="4">
                  <c:v>FY 2024E</c:v>
                </c:pt>
                <c:pt idx="5">
                  <c:v>FY 2025E</c:v>
                </c:pt>
              </c:strCache>
            </c:strRef>
          </c:cat>
          <c:val>
            <c:numRef>
              <c:f>FMSA!$H$80:$M$80</c:f>
              <c:numCache>
                <c:formatCode>"$"#,##0_);[Red]\("$"#,##0\)</c:formatCode>
                <c:ptCount val="6"/>
                <c:pt idx="0">
                  <c:v>3870</c:v>
                </c:pt>
                <c:pt idx="1">
                  <c:v>4745.1360000000004</c:v>
                </c:pt>
                <c:pt idx="2">
                  <c:v>5636.7220800000005</c:v>
                </c:pt>
                <c:pt idx="3">
                  <c:v>6809.7696479999995</c:v>
                </c:pt>
                <c:pt idx="4">
                  <c:v>8307.9189705599983</c:v>
                </c:pt>
                <c:pt idx="5">
                  <c:v>10066.181292880416</c:v>
                </c:pt>
              </c:numCache>
            </c:numRef>
          </c:val>
          <c:smooth val="0"/>
          <c:extLst>
            <c:ext xmlns:c16="http://schemas.microsoft.com/office/drawing/2014/chart" uri="{C3380CC4-5D6E-409C-BE32-E72D297353CC}">
              <c16:uniqueId val="{00000006-8C95-48F9-B42F-8C7EA7272E69}"/>
            </c:ext>
          </c:extLst>
        </c:ser>
        <c:dLbls>
          <c:showLegendKey val="0"/>
          <c:showVal val="0"/>
          <c:showCatName val="0"/>
          <c:showSerName val="0"/>
          <c:showPercent val="0"/>
          <c:showBubbleSize val="0"/>
        </c:dLbls>
        <c:smooth val="0"/>
        <c:axId val="1373705840"/>
        <c:axId val="1446191247"/>
      </c:lineChart>
      <c:catAx>
        <c:axId val="1373705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446191247"/>
        <c:crosses val="autoZero"/>
        <c:auto val="1"/>
        <c:lblAlgn val="ctr"/>
        <c:lblOffset val="100"/>
        <c:noMultiLvlLbl val="0"/>
      </c:catAx>
      <c:valAx>
        <c:axId val="144619124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373705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Projected Cash &amp; Cash Equivalents: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FMSA!$A$186</c:f>
              <c:strCache>
                <c:ptCount val="1"/>
                <c:pt idx="0">
                  <c:v>Cash &amp; Cash Equivalents: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FMSA!$H$149:$M$149</c:f>
              <c:strCache>
                <c:ptCount val="6"/>
                <c:pt idx="0">
                  <c:v>FY 2020E</c:v>
                </c:pt>
                <c:pt idx="1">
                  <c:v>FY 2021E</c:v>
                </c:pt>
                <c:pt idx="2">
                  <c:v>FY 2022E</c:v>
                </c:pt>
                <c:pt idx="3">
                  <c:v>FY 2023E</c:v>
                </c:pt>
                <c:pt idx="4">
                  <c:v>FY 2024E</c:v>
                </c:pt>
                <c:pt idx="5">
                  <c:v>FY 2025E</c:v>
                </c:pt>
              </c:strCache>
            </c:strRef>
          </c:cat>
          <c:val>
            <c:numRef>
              <c:f>FMSA!$H$186:$M$186</c:f>
              <c:numCache>
                <c:formatCode>"$"#,##0_);[Red]\("$"#,##0\)</c:formatCode>
                <c:ptCount val="6"/>
                <c:pt idx="0">
                  <c:v>23728.319154093733</c:v>
                </c:pt>
                <c:pt idx="1">
                  <c:v>46905.696132213387</c:v>
                </c:pt>
                <c:pt idx="2">
                  <c:v>75944.436811649357</c:v>
                </c:pt>
                <c:pt idx="3">
                  <c:v>110926.54506866779</c:v>
                </c:pt>
                <c:pt idx="4">
                  <c:v>154930.1674771902</c:v>
                </c:pt>
                <c:pt idx="5">
                  <c:v>208365.57829512155</c:v>
                </c:pt>
              </c:numCache>
            </c:numRef>
          </c:val>
          <c:smooth val="0"/>
          <c:extLst>
            <c:ext xmlns:c16="http://schemas.microsoft.com/office/drawing/2014/chart" uri="{C3380CC4-5D6E-409C-BE32-E72D297353CC}">
              <c16:uniqueId val="{00000000-7F76-49FB-B826-0770FCC28DBA}"/>
            </c:ext>
          </c:extLst>
        </c:ser>
        <c:dLbls>
          <c:showLegendKey val="0"/>
          <c:showVal val="0"/>
          <c:showCatName val="0"/>
          <c:showSerName val="0"/>
          <c:showPercent val="0"/>
          <c:showBubbleSize val="0"/>
        </c:dLbls>
        <c:marker val="1"/>
        <c:smooth val="0"/>
        <c:axId val="1164746224"/>
        <c:axId val="1164750064"/>
      </c:lineChart>
      <c:catAx>
        <c:axId val="1164746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4750064"/>
        <c:crosses val="autoZero"/>
        <c:auto val="1"/>
        <c:lblAlgn val="ctr"/>
        <c:lblOffset val="100"/>
        <c:noMultiLvlLbl val="0"/>
      </c:catAx>
      <c:valAx>
        <c:axId val="116475006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47462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5">
                    <a:lumMod val="50000"/>
                  </a:schemeClr>
                </a:solidFill>
                <a:latin typeface="+mn-lt"/>
                <a:ea typeface="+mn-ea"/>
                <a:cs typeface="+mn-cs"/>
              </a:defRPr>
            </a:pPr>
            <a:r>
              <a:rPr lang="en-US">
                <a:solidFill>
                  <a:schemeClr val="accent5">
                    <a:lumMod val="50000"/>
                  </a:schemeClr>
                </a:solidFill>
              </a:rPr>
              <a:t>NPV</a:t>
            </a:r>
            <a:r>
              <a:rPr lang="en-US" baseline="0">
                <a:solidFill>
                  <a:schemeClr val="accent5">
                    <a:lumMod val="50000"/>
                  </a:schemeClr>
                </a:solidFill>
              </a:rPr>
              <a:t> and IRR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accent5">
                  <a:lumMod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FMSA!$E$15</c:f>
              <c:strCache>
                <c:ptCount val="1"/>
                <c:pt idx="0">
                  <c:v>NPV</c:v>
                </c:pt>
              </c:strCache>
            </c:strRef>
          </c:tx>
          <c:spPr>
            <a:solidFill>
              <a:schemeClr val="accent1"/>
            </a:solidFill>
            <a:ln>
              <a:noFill/>
            </a:ln>
            <a:effectLst/>
          </c:spPr>
          <c:invertIfNegative val="0"/>
          <c:cat>
            <c:strRef>
              <c:f>FMSA!$F$14:$I$14</c:f>
              <c:strCache>
                <c:ptCount val="4"/>
                <c:pt idx="0">
                  <c:v>Scenario 1</c:v>
                </c:pt>
                <c:pt idx="1">
                  <c:v>Scenario 2</c:v>
                </c:pt>
                <c:pt idx="2">
                  <c:v>Scenario 3</c:v>
                </c:pt>
                <c:pt idx="3">
                  <c:v>Senario 4</c:v>
                </c:pt>
              </c:strCache>
            </c:strRef>
          </c:cat>
          <c:val>
            <c:numRef>
              <c:f>FMSA!$F$15:$I$15</c:f>
              <c:numCache>
                <c:formatCode>_("$"* #,##0.00_);_("$"* \(#,##0.00\);_("$"* "-"??_);_(@_)</c:formatCode>
                <c:ptCount val="4"/>
                <c:pt idx="0">
                  <c:v>52806.217183286877</c:v>
                </c:pt>
                <c:pt idx="1">
                  <c:v>79403.834788674867</c:v>
                </c:pt>
                <c:pt idx="2">
                  <c:v>104924.46994820912</c:v>
                </c:pt>
                <c:pt idx="3">
                  <c:v>99118.051750589657</c:v>
                </c:pt>
              </c:numCache>
            </c:numRef>
          </c:val>
          <c:extLst>
            <c:ext xmlns:c16="http://schemas.microsoft.com/office/drawing/2014/chart" uri="{C3380CC4-5D6E-409C-BE32-E72D297353CC}">
              <c16:uniqueId val="{00000000-D19A-406E-B4CE-E5A5A2C65F0C}"/>
            </c:ext>
          </c:extLst>
        </c:ser>
        <c:dLbls>
          <c:showLegendKey val="0"/>
          <c:showVal val="0"/>
          <c:showCatName val="0"/>
          <c:showSerName val="0"/>
          <c:showPercent val="0"/>
          <c:showBubbleSize val="0"/>
        </c:dLbls>
        <c:gapWidth val="219"/>
        <c:overlap val="-27"/>
        <c:axId val="909327391"/>
        <c:axId val="909333151"/>
      </c:barChart>
      <c:lineChart>
        <c:grouping val="standard"/>
        <c:varyColors val="0"/>
        <c:ser>
          <c:idx val="1"/>
          <c:order val="1"/>
          <c:tx>
            <c:strRef>
              <c:f>FMSA!$E$16</c:f>
              <c:strCache>
                <c:ptCount val="1"/>
                <c:pt idx="0">
                  <c:v>IRR</c:v>
                </c:pt>
              </c:strCache>
            </c:strRef>
          </c:tx>
          <c:spPr>
            <a:ln w="28575" cap="rnd">
              <a:solidFill>
                <a:schemeClr val="accent2"/>
              </a:solidFill>
              <a:round/>
            </a:ln>
            <a:effectLst/>
          </c:spPr>
          <c:marker>
            <c:symbol val="none"/>
          </c:marker>
          <c:cat>
            <c:strRef>
              <c:f>FMSA!$F$14:$I$14</c:f>
              <c:strCache>
                <c:ptCount val="4"/>
                <c:pt idx="0">
                  <c:v>Scenario 1</c:v>
                </c:pt>
                <c:pt idx="1">
                  <c:v>Scenario 2</c:v>
                </c:pt>
                <c:pt idx="2">
                  <c:v>Scenario 3</c:v>
                </c:pt>
                <c:pt idx="3">
                  <c:v>Senario 4</c:v>
                </c:pt>
              </c:strCache>
            </c:strRef>
          </c:cat>
          <c:val>
            <c:numRef>
              <c:f>FMSA!$F$16:$I$16</c:f>
              <c:numCache>
                <c:formatCode>0%</c:formatCode>
                <c:ptCount val="4"/>
                <c:pt idx="0">
                  <c:v>0.21289113293287842</c:v>
                </c:pt>
                <c:pt idx="1">
                  <c:v>0.25607507696440135</c:v>
                </c:pt>
                <c:pt idx="2">
                  <c:v>0.28966280730884009</c:v>
                </c:pt>
                <c:pt idx="3">
                  <c:v>0.27770644588410609</c:v>
                </c:pt>
              </c:numCache>
            </c:numRef>
          </c:val>
          <c:smooth val="0"/>
          <c:extLst>
            <c:ext xmlns:c16="http://schemas.microsoft.com/office/drawing/2014/chart" uri="{C3380CC4-5D6E-409C-BE32-E72D297353CC}">
              <c16:uniqueId val="{00000001-D19A-406E-B4CE-E5A5A2C65F0C}"/>
            </c:ext>
          </c:extLst>
        </c:ser>
        <c:dLbls>
          <c:showLegendKey val="0"/>
          <c:showVal val="0"/>
          <c:showCatName val="0"/>
          <c:showSerName val="0"/>
          <c:showPercent val="0"/>
          <c:showBubbleSize val="0"/>
        </c:dLbls>
        <c:marker val="1"/>
        <c:smooth val="0"/>
        <c:axId val="909329791"/>
        <c:axId val="909336511"/>
      </c:lineChart>
      <c:catAx>
        <c:axId val="909327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9333151"/>
        <c:crosses val="autoZero"/>
        <c:auto val="1"/>
        <c:lblAlgn val="ctr"/>
        <c:lblOffset val="100"/>
        <c:noMultiLvlLbl val="0"/>
      </c:catAx>
      <c:valAx>
        <c:axId val="909333151"/>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9327391"/>
        <c:crosses val="autoZero"/>
        <c:crossBetween val="between"/>
      </c:valAx>
      <c:valAx>
        <c:axId val="909336511"/>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9329791"/>
        <c:crosses val="max"/>
        <c:crossBetween val="between"/>
      </c:valAx>
      <c:catAx>
        <c:axId val="909329791"/>
        <c:scaling>
          <c:orientation val="minMax"/>
        </c:scaling>
        <c:delete val="1"/>
        <c:axPos val="b"/>
        <c:numFmt formatCode="General" sourceLinked="1"/>
        <c:majorTickMark val="none"/>
        <c:minorTickMark val="none"/>
        <c:tickLblPos val="nextTo"/>
        <c:crossAx val="90933651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Projected Cash Flow from Operations: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ubbleChart>
        <c:varyColors val="0"/>
        <c:ser>
          <c:idx val="0"/>
          <c:order val="0"/>
          <c:tx>
            <c:strRef>
              <c:f>FMSA!$A$165</c:f>
              <c:strCache>
                <c:ptCount val="1"/>
                <c:pt idx="0">
                  <c:v>Cash Flow from Operations:</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Calibri"/>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yVal>
            <c:numRef>
              <c:f>FMSA!$H$165:$M$165</c:f>
              <c:numCache>
                <c:formatCode>"$"#,##0_);[Red]\("$"#,##0\)</c:formatCode>
                <c:ptCount val="6"/>
                <c:pt idx="0">
                  <c:v>18138.119154093733</c:v>
                </c:pt>
                <c:pt idx="1">
                  <c:v>24838.464978119653</c:v>
                </c:pt>
                <c:pt idx="2">
                  <c:v>31065.268039435963</c:v>
                </c:pt>
                <c:pt idx="3">
                  <c:v>37413.941089018437</c:v>
                </c:pt>
                <c:pt idx="4">
                  <c:v>46970.458463562391</c:v>
                </c:pt>
                <c:pt idx="5">
                  <c:v>57051.983969025125</c:v>
                </c:pt>
              </c:numCache>
            </c:numRef>
          </c:yVal>
          <c:bubbleSize>
            <c:numLit>
              <c:formatCode>General</c:formatCode>
              <c:ptCount val="6"/>
              <c:pt idx="0">
                <c:v>1</c:v>
              </c:pt>
              <c:pt idx="1">
                <c:v>1</c:v>
              </c:pt>
              <c:pt idx="2">
                <c:v>1</c:v>
              </c:pt>
              <c:pt idx="3">
                <c:v>1</c:v>
              </c:pt>
              <c:pt idx="4">
                <c:v>1</c:v>
              </c:pt>
              <c:pt idx="5">
                <c:v>1</c:v>
              </c:pt>
            </c:numLit>
          </c:bubbleSize>
          <c:bubble3D val="0"/>
          <c:extLst>
            <c:ext xmlns:c16="http://schemas.microsoft.com/office/drawing/2014/chart" uri="{C3380CC4-5D6E-409C-BE32-E72D297353CC}">
              <c16:uniqueId val="{00000000-0F09-4DE9-8567-103108FC663C}"/>
            </c:ext>
          </c:extLst>
        </c:ser>
        <c:dLbls>
          <c:dLblPos val="ctr"/>
          <c:showLegendKey val="0"/>
          <c:showVal val="1"/>
          <c:showCatName val="0"/>
          <c:showSerName val="0"/>
          <c:showPercent val="0"/>
          <c:showBubbleSize val="0"/>
        </c:dLbls>
        <c:bubbleScale val="100"/>
        <c:showNegBubbles val="0"/>
        <c:axId val="1089697760"/>
        <c:axId val="1089695840"/>
      </c:bubbleChart>
      <c:valAx>
        <c:axId val="1089697760"/>
        <c:scaling>
          <c:orientation val="minMax"/>
        </c:scaling>
        <c:delete val="0"/>
        <c:axPos val="b"/>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089695840"/>
        <c:crosses val="autoZero"/>
        <c:crossBetween val="midCat"/>
      </c:valAx>
      <c:valAx>
        <c:axId val="1089695840"/>
        <c:scaling>
          <c:orientation val="minMax"/>
        </c:scaling>
        <c:delete val="0"/>
        <c:axPos val="l"/>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108969776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baseline="0">
                <a:effectLst/>
              </a:rPr>
              <a:t>Projected Levered Free Cash Flow:</a:t>
            </a:r>
            <a:r>
              <a:rPr lang="en-US" sz="1400" b="0" i="0" u="none" strike="noStrike" baseline="0">
                <a:effectLst/>
              </a:rPr>
              <a:t>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ndard"/>
        <c:varyColors val="0"/>
        <c:ser>
          <c:idx val="0"/>
          <c:order val="0"/>
          <c:spPr>
            <a:solidFill>
              <a:schemeClr val="accent1"/>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FMSA!$H$100</c:f>
              <c:numCache>
                <c:formatCode>"$"#,##0_);[Red]\("$"#,##0\)</c:formatCode>
                <c:ptCount val="1"/>
                <c:pt idx="0">
                  <c:v>16765.319154093733</c:v>
                </c:pt>
              </c:numCache>
            </c:numRef>
          </c:val>
          <c:extLst>
            <c:ext xmlns:c16="http://schemas.microsoft.com/office/drawing/2014/chart" uri="{C3380CC4-5D6E-409C-BE32-E72D297353CC}">
              <c16:uniqueId val="{00000000-42B1-454B-9F09-29CD0BF5BD35}"/>
            </c:ext>
          </c:extLst>
        </c:ser>
        <c:ser>
          <c:idx val="1"/>
          <c:order val="1"/>
          <c:spPr>
            <a:solidFill>
              <a:schemeClr val="accent2"/>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FMSA!$I$100</c:f>
              <c:numCache>
                <c:formatCode>"$"#,##0_);[Red]\("$"#,##0\)</c:formatCode>
                <c:ptCount val="1"/>
                <c:pt idx="0">
                  <c:v>23177.376978119653</c:v>
                </c:pt>
              </c:numCache>
            </c:numRef>
          </c:val>
          <c:extLst>
            <c:ext xmlns:c16="http://schemas.microsoft.com/office/drawing/2014/chart" uri="{C3380CC4-5D6E-409C-BE32-E72D297353CC}">
              <c16:uniqueId val="{00000001-42B1-454B-9F09-29CD0BF5BD35}"/>
            </c:ext>
          </c:extLst>
        </c:ser>
        <c:ser>
          <c:idx val="2"/>
          <c:order val="2"/>
          <c:spPr>
            <a:solidFill>
              <a:schemeClr val="accent3"/>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FMSA!$J$100</c:f>
              <c:numCache>
                <c:formatCode>"$"#,##0_);[Red]\("$"#,##0\)</c:formatCode>
                <c:ptCount val="1"/>
                <c:pt idx="0">
                  <c:v>29038.740679435963</c:v>
                </c:pt>
              </c:numCache>
            </c:numRef>
          </c:val>
          <c:extLst>
            <c:ext xmlns:c16="http://schemas.microsoft.com/office/drawing/2014/chart" uri="{C3380CC4-5D6E-409C-BE32-E72D297353CC}">
              <c16:uniqueId val="{00000002-42B1-454B-9F09-29CD0BF5BD35}"/>
            </c:ext>
          </c:extLst>
        </c:ser>
        <c:ser>
          <c:idx val="3"/>
          <c:order val="3"/>
          <c:spPr>
            <a:solidFill>
              <a:schemeClr val="accent4"/>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FMSA!$K$100</c:f>
              <c:numCache>
                <c:formatCode>"$"#,##0_);[Red]\("$"#,##0\)</c:formatCode>
                <c:ptCount val="1"/>
                <c:pt idx="0">
                  <c:v>34982.108257018437</c:v>
                </c:pt>
              </c:numCache>
            </c:numRef>
          </c:val>
          <c:extLst>
            <c:ext xmlns:c16="http://schemas.microsoft.com/office/drawing/2014/chart" uri="{C3380CC4-5D6E-409C-BE32-E72D297353CC}">
              <c16:uniqueId val="{00000003-42B1-454B-9F09-29CD0BF5BD35}"/>
            </c:ext>
          </c:extLst>
        </c:ser>
        <c:ser>
          <c:idx val="4"/>
          <c:order val="4"/>
          <c:spPr>
            <a:solidFill>
              <a:schemeClr val="accent5"/>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FMSA!$L$100</c:f>
              <c:numCache>
                <c:formatCode>"$"#,##0_);[Red]\("$"#,##0\)</c:formatCode>
                <c:ptCount val="1"/>
                <c:pt idx="0">
                  <c:v>44003.622408522395</c:v>
                </c:pt>
              </c:numCache>
            </c:numRef>
          </c:val>
          <c:extLst>
            <c:ext xmlns:c16="http://schemas.microsoft.com/office/drawing/2014/chart" uri="{C3380CC4-5D6E-409C-BE32-E72D297353CC}">
              <c16:uniqueId val="{00000004-42B1-454B-9F09-29CD0BF5BD35}"/>
            </c:ext>
          </c:extLst>
        </c:ser>
        <c:ser>
          <c:idx val="5"/>
          <c:order val="5"/>
          <c:spPr>
            <a:solidFill>
              <a:schemeClr val="accent6"/>
            </a:solidFill>
            <a:ln>
              <a:noFill/>
            </a:ln>
            <a:effectLst/>
            <a:sp3d/>
          </c:spPr>
          <c:invertIfNegative val="0"/>
          <c:cat>
            <c:strRef>
              <c:f>FMSA!$H$72:$M$72</c:f>
              <c:strCache>
                <c:ptCount val="6"/>
                <c:pt idx="0">
                  <c:v>FY 2020E</c:v>
                </c:pt>
                <c:pt idx="1">
                  <c:v>FY 2021E</c:v>
                </c:pt>
                <c:pt idx="2">
                  <c:v>FY 2022E</c:v>
                </c:pt>
                <c:pt idx="3">
                  <c:v>FY 2023E</c:v>
                </c:pt>
                <c:pt idx="4">
                  <c:v>FY 2024E</c:v>
                </c:pt>
                <c:pt idx="5">
                  <c:v>FY 2025E</c:v>
                </c:pt>
              </c:strCache>
            </c:strRef>
          </c:cat>
          <c:val>
            <c:numRef>
              <c:f>FMSA!$M$100</c:f>
              <c:numCache>
                <c:formatCode>"$"#,##0_);[Red]\("$"#,##0\)</c:formatCode>
                <c:ptCount val="1"/>
                <c:pt idx="0">
                  <c:v>53435.410817931363</c:v>
                </c:pt>
              </c:numCache>
            </c:numRef>
          </c:val>
          <c:extLst>
            <c:ext xmlns:c16="http://schemas.microsoft.com/office/drawing/2014/chart" uri="{C3380CC4-5D6E-409C-BE32-E72D297353CC}">
              <c16:uniqueId val="{00000005-42B1-454B-9F09-29CD0BF5BD35}"/>
            </c:ext>
          </c:extLst>
        </c:ser>
        <c:dLbls>
          <c:showLegendKey val="0"/>
          <c:showVal val="0"/>
          <c:showCatName val="0"/>
          <c:showSerName val="0"/>
          <c:showPercent val="0"/>
          <c:showBubbleSize val="0"/>
        </c:dLbls>
        <c:gapWidth val="150"/>
        <c:shape val="box"/>
        <c:axId val="992488511"/>
        <c:axId val="992487551"/>
        <c:axId val="1148967760"/>
      </c:bar3DChart>
      <c:catAx>
        <c:axId val="99248851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487551"/>
        <c:crosses val="autoZero"/>
        <c:auto val="1"/>
        <c:lblAlgn val="ctr"/>
        <c:lblOffset val="100"/>
        <c:noMultiLvlLbl val="0"/>
      </c:catAx>
      <c:valAx>
        <c:axId val="992487551"/>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488511"/>
        <c:crosses val="autoZero"/>
        <c:crossBetween val="between"/>
      </c:valAx>
      <c:serAx>
        <c:axId val="1148967760"/>
        <c:scaling>
          <c:orientation val="minMax"/>
        </c:scaling>
        <c:delete val="0"/>
        <c:axPos val="b"/>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487551"/>
        <c:crosses val="autoZero"/>
      </c:ser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NPV Based on Scenario</a:t>
            </a:r>
            <a:endParaRPr lang="en-US" sz="1400" b="1" i="0" u="none" strike="noStrike" baseline="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FMSA!$E$15</c:f>
              <c:strCache>
                <c:ptCount val="1"/>
                <c:pt idx="0">
                  <c:v>NPV</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865-4637-A3E5-31C76B6969C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865-4637-A3E5-31C76B6969C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865-4637-A3E5-31C76B6969C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865-4637-A3E5-31C76B6969C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FMSA!$F$14:$I$14</c:f>
              <c:strCache>
                <c:ptCount val="4"/>
                <c:pt idx="0">
                  <c:v>Scenario 1</c:v>
                </c:pt>
                <c:pt idx="1">
                  <c:v>Scenario 2</c:v>
                </c:pt>
                <c:pt idx="2">
                  <c:v>Scenario 3</c:v>
                </c:pt>
                <c:pt idx="3">
                  <c:v>Senario 4</c:v>
                </c:pt>
              </c:strCache>
            </c:strRef>
          </c:cat>
          <c:val>
            <c:numRef>
              <c:f>FMSA!$F$15:$I$15</c:f>
              <c:numCache>
                <c:formatCode>_("$"* #,##0.00_);_("$"* \(#,##0.00\);_("$"* "-"??_);_(@_)</c:formatCode>
                <c:ptCount val="4"/>
                <c:pt idx="0">
                  <c:v>52806.217183286877</c:v>
                </c:pt>
                <c:pt idx="1">
                  <c:v>79403.834788674867</c:v>
                </c:pt>
                <c:pt idx="2">
                  <c:v>104924.46994820912</c:v>
                </c:pt>
                <c:pt idx="3">
                  <c:v>99118.051750589657</c:v>
                </c:pt>
              </c:numCache>
            </c:numRef>
          </c:val>
          <c:extLst>
            <c:ext xmlns:c16="http://schemas.microsoft.com/office/drawing/2014/chart" uri="{C3380CC4-5D6E-409C-BE32-E72D297353CC}">
              <c16:uniqueId val="{00000008-9865-4637-A3E5-31C76B6969CC}"/>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18706342957130359"/>
          <c:y val="0.82465223097112861"/>
          <c:w val="0.66476181102362197"/>
          <c:h val="0.147569991251093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FMSA!$A$47</c:f>
          <c:strCache>
            <c:ptCount val="1"/>
            <c:pt idx="0">
              <c:v>Revenue Growth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elete val="1"/>
          </c:dLbls>
          <c:cat>
            <c:strRef>
              <c:f>FMSA!$H$36:$M$36</c:f>
              <c:strCache>
                <c:ptCount val="6"/>
                <c:pt idx="0">
                  <c:v>FY 2020E</c:v>
                </c:pt>
                <c:pt idx="1">
                  <c:v>FY 2021E</c:v>
                </c:pt>
                <c:pt idx="2">
                  <c:v>FY 2022E</c:v>
                </c:pt>
                <c:pt idx="3">
                  <c:v>FY 2023E</c:v>
                </c:pt>
                <c:pt idx="4">
                  <c:v>FY 2024E</c:v>
                </c:pt>
                <c:pt idx="5">
                  <c:v>FY 2025E</c:v>
                </c:pt>
              </c:strCache>
            </c:strRef>
          </c:cat>
          <c:val>
            <c:numRef>
              <c:f>FMSA!$K$38</c:f>
              <c:numCache>
                <c:formatCode>0.0%</c:formatCode>
                <c:ptCount val="1"/>
                <c:pt idx="0">
                  <c:v>0</c:v>
                </c:pt>
              </c:numCache>
            </c:numRef>
          </c:val>
          <c:extLst>
            <c:ext xmlns:c16="http://schemas.microsoft.com/office/drawing/2014/chart" uri="{C3380CC4-5D6E-409C-BE32-E72D297353CC}">
              <c16:uniqueId val="{00000000-2BC2-C642-9638-965A811744EB}"/>
            </c:ext>
          </c:extLst>
        </c:ser>
        <c:ser>
          <c:idx val="1"/>
          <c:order val="1"/>
          <c:spPr>
            <a:solidFill>
              <a:schemeClr val="accent3"/>
            </a:solidFill>
            <a:ln>
              <a:noFill/>
            </a:ln>
            <a:effectLst/>
          </c:spPr>
          <c:invertIfNegative val="0"/>
          <c:dLbls>
            <c:delete val="1"/>
          </c:dLbls>
          <c:cat>
            <c:strRef>
              <c:f>FMSA!$H$36:$M$36</c:f>
              <c:strCache>
                <c:ptCount val="6"/>
                <c:pt idx="0">
                  <c:v>FY 2020E</c:v>
                </c:pt>
                <c:pt idx="1">
                  <c:v>FY 2021E</c:v>
                </c:pt>
                <c:pt idx="2">
                  <c:v>FY 2022E</c:v>
                </c:pt>
                <c:pt idx="3">
                  <c:v>FY 2023E</c:v>
                </c:pt>
                <c:pt idx="4">
                  <c:v>FY 2024E</c:v>
                </c:pt>
                <c:pt idx="5">
                  <c:v>FY 2025E</c:v>
                </c:pt>
              </c:strCache>
            </c:strRef>
          </c:cat>
          <c:val>
            <c:numRef>
              <c:f>FMSA!$H$36:$M$36</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2BC2-C642-9638-965A811744EB}"/>
            </c:ext>
          </c:extLst>
        </c:ser>
        <c:ser>
          <c:idx val="2"/>
          <c:order val="2"/>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5"/>
                </a:solidFill>
                <a:prstDash val="sysDot"/>
              </a:ln>
              <a:effectLst/>
            </c:spPr>
            <c:trendlineType val="exp"/>
            <c:dispRSqr val="0"/>
            <c:dispEq val="0"/>
          </c:trendline>
          <c:cat>
            <c:strRef>
              <c:f>FMSA!$H$36:$M$36</c:f>
              <c:strCache>
                <c:ptCount val="6"/>
                <c:pt idx="0">
                  <c:v>FY 2020E</c:v>
                </c:pt>
                <c:pt idx="1">
                  <c:v>FY 2021E</c:v>
                </c:pt>
                <c:pt idx="2">
                  <c:v>FY 2022E</c:v>
                </c:pt>
                <c:pt idx="3">
                  <c:v>FY 2023E</c:v>
                </c:pt>
                <c:pt idx="4">
                  <c:v>FY 2024E</c:v>
                </c:pt>
                <c:pt idx="5">
                  <c:v>FY 2025E</c:v>
                </c:pt>
              </c:strCache>
            </c:strRef>
          </c:cat>
          <c:val>
            <c:numRef>
              <c:f>FMSA!$H$47:$M$47</c:f>
              <c:numCache>
                <c:formatCode>0.0%</c:formatCode>
                <c:ptCount val="6"/>
                <c:pt idx="0">
                  <c:v>0.2</c:v>
                </c:pt>
                <c:pt idx="1">
                  <c:v>0.21</c:v>
                </c:pt>
                <c:pt idx="2">
                  <c:v>0.22</c:v>
                </c:pt>
                <c:pt idx="3">
                  <c:v>0.2</c:v>
                </c:pt>
                <c:pt idx="4">
                  <c:v>0.22</c:v>
                </c:pt>
                <c:pt idx="5">
                  <c:v>0.219</c:v>
                </c:pt>
              </c:numCache>
            </c:numRef>
          </c:val>
          <c:extLst>
            <c:ext xmlns:c16="http://schemas.microsoft.com/office/drawing/2014/chart" uri="{C3380CC4-5D6E-409C-BE32-E72D297353CC}">
              <c16:uniqueId val="{00000002-2BC2-C642-9638-965A811744EB}"/>
            </c:ext>
          </c:extLst>
        </c:ser>
        <c:dLbls>
          <c:dLblPos val="inEnd"/>
          <c:showLegendKey val="0"/>
          <c:showVal val="1"/>
          <c:showCatName val="0"/>
          <c:showSerName val="0"/>
          <c:showPercent val="0"/>
          <c:showBubbleSize val="0"/>
        </c:dLbls>
        <c:gapWidth val="219"/>
        <c:overlap val="-27"/>
        <c:axId val="469889136"/>
        <c:axId val="1333332527"/>
      </c:barChart>
      <c:catAx>
        <c:axId val="469889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3332527"/>
        <c:crosses val="autoZero"/>
        <c:auto val="0"/>
        <c:lblAlgn val="ctr"/>
        <c:lblOffset val="100"/>
        <c:noMultiLvlLbl val="0"/>
      </c:catAx>
      <c:valAx>
        <c:axId val="1333332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Projected Revenue Growth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98891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 dir="row">_xlchart.v2.1</cx:f>
      </cx:strDim>
      <cx:numDim type="val">
        <cx:f dir="row">_xlchart.v2.2</cx:f>
      </cx:numDim>
    </cx:data>
  </cx:chartData>
  <cx:chart>
    <cx:title pos="t" align="ctr" overlay="0">
      <cx:tx>
        <cx:txData>
          <cx:v>Projected Total Shareholders' Equity:</cx:v>
        </cx:txData>
      </cx:tx>
      <cx:txPr>
        <a:bodyPr spcFirstLastPara="1" vertOverflow="ellipsis" horzOverflow="overflow" wrap="square" lIns="0" tIns="0" rIns="0" bIns="0" anchor="ctr" anchorCtr="1"/>
        <a:lstStyle/>
        <a:p>
          <a:pPr algn="ctr" rtl="0">
            <a:defRPr/>
          </a:pPr>
          <a:r>
            <a:rPr lang="en-US" sz="1400" b="0" i="0" u="none" strike="noStrike" baseline="0">
              <a:solidFill>
                <a:srgbClr val="231709">
                  <a:lumMod val="65000"/>
                  <a:lumOff val="35000"/>
                </a:srgbClr>
              </a:solidFill>
              <a:latin typeface="Calibri" panose="020F0502020204030204"/>
            </a:rPr>
            <a:t>Projected Total Shareholders' Equity:</a:t>
          </a:r>
        </a:p>
      </cx:txPr>
    </cx:title>
    <cx:plotArea>
      <cx:plotAreaRegion>
        <cx:series layoutId="funnel" uniqueId="{C754DD78-DE87-4241-8ED6-C5B9FC369DDD}">
          <cx:tx>
            <cx:txData>
              <cx:f>_xlchart.v2.0</cx:f>
              <cx:v>Total Shareholders' Equity:</cx:v>
            </cx:txData>
          </cx:tx>
          <cx:dataLabels>
            <cx:visibility seriesName="0" categoryName="0" value="1"/>
          </cx:dataLabels>
          <cx:dataId val="0"/>
        </cx:series>
      </cx:plotAreaRegion>
      <cx:axis id="0">
        <cx:catScaling gapWidth="0.0599999987"/>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 dir="row">_xlchart.v2.4</cx:f>
      </cx:strDim>
      <cx:numDim type="val">
        <cx:f dir="row">_xlchart.v2.5</cx:f>
      </cx:numDim>
    </cx:data>
  </cx:chartData>
  <cx:chart>
    <cx:title pos="t" align="ctr" overlay="0">
      <cx:tx>
        <cx:txData>
          <cx:v>Projected Total Shareholders' Equity:</cx:v>
        </cx:txData>
      </cx:tx>
      <cx:txPr>
        <a:bodyPr spcFirstLastPara="1" vertOverflow="ellipsis" horzOverflow="overflow" wrap="square" lIns="0" tIns="0" rIns="0" bIns="0" anchor="ctr" anchorCtr="1"/>
        <a:lstStyle/>
        <a:p>
          <a:pPr algn="ctr" rtl="0">
            <a:defRPr/>
          </a:pPr>
          <a:r>
            <a:rPr lang="en-US" sz="1400" b="0" i="0" u="none" strike="noStrike" baseline="0">
              <a:solidFill>
                <a:srgbClr val="231709">
                  <a:lumMod val="65000"/>
                  <a:lumOff val="35000"/>
                </a:srgbClr>
              </a:solidFill>
              <a:latin typeface="Calibri" panose="020F0502020204030204"/>
            </a:rPr>
            <a:t>Projected Total Shareholders' Equity:</a:t>
          </a:r>
        </a:p>
      </cx:txPr>
    </cx:title>
    <cx:plotArea>
      <cx:plotAreaRegion>
        <cx:series layoutId="funnel" uniqueId="{C754DD78-DE87-4241-8ED6-C5B9FC369DDD}">
          <cx:tx>
            <cx:txData>
              <cx:f>_xlchart.v2.3</cx:f>
              <cx:v>Total Shareholders' Equity:</cx:v>
            </cx:txData>
          </cx:tx>
          <cx:dataLabels>
            <cx:visibility seriesName="0" categoryName="0" value="1"/>
          </cx:dataLabels>
          <cx:dataId val="0"/>
        </cx:series>
      </cx:plotAreaRegion>
      <cx:axis id="0">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72">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a:latin typeface="Calibri"/>
    </cs:defRPr>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2">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a:latin typeface="Calibri"/>
    </cs:defRPr>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chart" Target="../charts/chart11.xml"/><Relationship Id="rId7" Type="http://schemas.microsoft.com/office/2014/relationships/chartEx" Target="../charts/chartEx2.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 Id="rId9"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xdr:from>
      <xdr:col>0</xdr:col>
      <xdr:colOff>176893</xdr:colOff>
      <xdr:row>1</xdr:row>
      <xdr:rowOff>167642</xdr:rowOff>
    </xdr:from>
    <xdr:to>
      <xdr:col>9</xdr:col>
      <xdr:colOff>285750</xdr:colOff>
      <xdr:row>85</xdr:row>
      <xdr:rowOff>95250</xdr:rowOff>
    </xdr:to>
    <xdr:sp macro="" textlink="">
      <xdr:nvSpPr>
        <xdr:cNvPr id="2" name="TextBox 1">
          <a:extLst>
            <a:ext uri="{FF2B5EF4-FFF2-40B4-BE49-F238E27FC236}">
              <a16:creationId xmlns:a16="http://schemas.microsoft.com/office/drawing/2014/main" id="{74C9D568-1339-45FC-B0F3-6C95D9AF91C2}"/>
            </a:ext>
          </a:extLst>
        </xdr:cNvPr>
        <xdr:cNvSpPr txBox="1"/>
      </xdr:nvSpPr>
      <xdr:spPr>
        <a:xfrm>
          <a:off x="176893" y="358142"/>
          <a:ext cx="6721928" cy="162425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a:latin typeface="Times New Roman" panose="02020603050405020304" pitchFamily="18" charset="0"/>
              <a:cs typeface="Times New Roman" panose="02020603050405020304" pitchFamily="18" charset="0"/>
            </a:rPr>
            <a:t>Executive</a:t>
          </a:r>
          <a:r>
            <a:rPr lang="en-US" sz="1800" b="1" baseline="0">
              <a:latin typeface="Times New Roman" panose="02020603050405020304" pitchFamily="18" charset="0"/>
              <a:cs typeface="Times New Roman" panose="02020603050405020304" pitchFamily="18" charset="0"/>
            </a:rPr>
            <a:t> Summary</a:t>
          </a:r>
        </a:p>
        <a:p>
          <a:r>
            <a:rPr lang="en-US" sz="1800" b="1" baseline="0">
              <a:latin typeface="Times New Roman" panose="02020603050405020304" pitchFamily="18" charset="0"/>
              <a:cs typeface="Times New Roman" panose="02020603050405020304" pitchFamily="18" charset="0"/>
            </a:rPr>
            <a:t>To: CFO</a:t>
          </a:r>
        </a:p>
        <a:p>
          <a:r>
            <a:rPr lang="en-US" sz="1800" b="1" baseline="0">
              <a:latin typeface="Times New Roman" panose="02020603050405020304" pitchFamily="18" charset="0"/>
              <a:cs typeface="Times New Roman" panose="02020603050405020304" pitchFamily="18" charset="0"/>
            </a:rPr>
            <a:t>Subject: Financial Modeling</a:t>
          </a:r>
        </a:p>
        <a:p>
          <a:r>
            <a:rPr lang="en-US" sz="1800" b="1" baseline="0">
              <a:latin typeface="Times New Roman" panose="02020603050405020304" pitchFamily="18" charset="0"/>
              <a:cs typeface="Times New Roman" panose="02020603050405020304" pitchFamily="18" charset="0"/>
            </a:rPr>
            <a:t>From: Team 9,   Andres Duarte, Gillian Wu, Jack Woodworth, Ava Forbes</a:t>
          </a:r>
          <a:endParaRPr lang="en-US" sz="1200" baseline="0">
            <a:latin typeface="Times New Roman" panose="02020603050405020304" pitchFamily="18" charset="0"/>
            <a:cs typeface="Times New Roman" panose="02020603050405020304" pitchFamily="18" charset="0"/>
          </a:endParaRPr>
        </a:p>
        <a:p>
          <a:endParaRPr lang="en-US" sz="1200" baseline="0">
            <a:latin typeface="Times New Roman" panose="02020603050405020304" pitchFamily="18" charset="0"/>
            <a:cs typeface="Times New Roman" panose="02020603050405020304" pitchFamily="18" charset="0"/>
          </a:endParaRPr>
        </a:p>
        <a:p>
          <a:r>
            <a:rPr lang="en-US" sz="1000"/>
            <a:t>The purpose of this financial analysis was to evaluate how different strategic operating environments and financing structures could impact the long-term financial performance and shareholder value of the company. To accomplish this objective, we developed a dynamic financial model in Microsoft Excel capable of analyzing four distinct operating scenarios. Each scenario represents a different combination of growth expectations, cost structures, investment intensity, and financing conditions. By structuring the model in this way, we were able to simulate how management decisions and external economic conditions influence revenue expansion, operating efficiency, profitability, and ultimately firm valuation.</a:t>
          </a:r>
        </a:p>
        <a:p>
          <a:r>
            <a:rPr lang="en-US" sz="1000"/>
            <a:t>The Excel model was designed as a fully integrated financial system rather than a static spreadsheet. Using data validation and conditional logic, we created a scenario selection box that allows users to toggle between Scenario 1 through Scenario 4. This selection triggers a series of IF-statement driven calculations across the model that automatically adjust revenue growth assumptions, cost structures, research and development investment, operating expenses, financing costs, and tax rates. As the scenario selection changes, the entire financial model recalculates in real time, producing updated projections of financial performance and valuation metrics. This dynamic design allows decision makers to immediately observe how changes in strategic assumptions propagate through the firm’s financial statements and impact shareholder returns.</a:t>
          </a:r>
        </a:p>
        <a:p>
          <a:r>
            <a:rPr lang="en-US" sz="1000"/>
            <a:t>The core operational assumptions driving the analysis were organized into two major categories: operating performance drivers and financing structure drivers. The operating drivers include revenue growth, cost of goods sold as a percentage of revenue, research and development spending, and selling, general, and administrative expenses. These variables directly influence operating margins and reflect the company’s strategic approach to expansion and operational efficiency. The financing drivers include stock-based compensation, depreciation and amortization, effective cash interest rates, debt interest rates, and effective tax rates. These inputs affect capital structure, financing costs, and the ultimate distribution of earnings to shareholders.</a:t>
          </a:r>
        </a:p>
        <a:p>
          <a:r>
            <a:rPr lang="en-US" sz="1000"/>
            <a:t>Scenario 1 represents a conservative baseline operating environment characterized by moderate revenue growth and relatively stable cost structures. Revenue growth ranges from approximately 10% to 13% annually over the forecast period. Under this scenario, cost of goods sold remains above 50% of revenue and gradually increases toward 54%, indicating limited operational efficiency improvements. Research and development expenditures remain near 2% of revenue, while SG&amp;A expenses trend slightly upward over time. Financing conditions are also relatively conservative, with lower interest rates and a stable effective tax rate around 20%. When these assumptions are incorporated into the financial model, Scenario 1 produces a Net Present Value of approximately $52,806 and an Internal Rate of Return of approximately 21%. These results indicate that the company remains profitable under conservative assumptions, but value creation remains moderate compared with the more aggressive strategic alternatives.</a:t>
          </a:r>
        </a:p>
        <a:p>
          <a:r>
            <a:rPr lang="en-US" sz="1000"/>
            <a:t>Scenario 2 represents a moderate improvement in operational efficiency combined with stronger revenue expansion. In this scenario, revenue growth accelerates to a range between 15% and 17%. At the same time, operational efficiency improves as cost of goods sold declines from 48% toward approximately 46% of revenue over the projection period. Research and development expenditures remain controlled near 1.7%, while SG&amp;A expenses are maintained around 7% of revenue. Although financing costs increase slightly relative to the baseline scenario, the improved operating margins generate significantly stronger financial performance. Under these conditions, the model produces an estimated Net Present Value of approximately $79,404 and an Internal Rate of Return of approximately 26%. These results demonstrate how moderate improvements in operating efficiency combined with sustained revenue growth can substantially enhance firm value.</a:t>
          </a:r>
        </a:p>
        <a:p>
          <a:r>
            <a:rPr lang="en-US" sz="1000"/>
            <a:t>Scenario 3 represents an aggressive expansion strategy designed to maximize market share and operating leverage. In this case, revenue growth accelerates significantly, reaching approximately 20% to 22% annually. At the same time, operational efficiencies improve further as cost of goods sold declines toward roughly 44% of revenue by the end of the forecast period. Research and development spending remains disciplined near 1.25% to 1.50%, while SG&amp;A expenses stabilize slightly above 6% of revenue. Financing costs rise moderately as interest rates increase and tax rates approach 24%, reflecting a more leveraged capital structure and potentially stronger profitability. Despite the higher financing costs, the stronger operating margins and rapid revenue expansion produce the highest overall financial performance of the four scenarios. The model estimates a Net Present Value of approximately $104,925 and an Internal Rate of Return of approximately 29%. This scenario represents the most value-creating strategic pathway under the modeled assumptions.</a:t>
          </a:r>
        </a:p>
        <a:p>
          <a:r>
            <a:rPr lang="en-US" sz="1000"/>
            <a:t>Scenario 4 represents an aggressive growth environment combined with significantly higher financing costs and operating pressures. Revenue growth reaches the highest levels across all scenarios, exceeding 25% annually and approaching nearly 28% by the end of the forecast period. However, this rapid growth comes with notable operational and financial trade-offs. Cost of goods sold increases substantially, reaching approximately 55% to 57% of revenue. At the same time, interest rates and effective tax rates rise meaningfully, reflecting increased leverage and potentially more complex financing arrangements. Although SG&amp;A and R&amp;D expenditures remain relatively controlled, the rising cost structure and higher financing costs partially offset the benefits of accelerated revenue growth. As a result, Scenario 4 generates a Net Present Value of approximately $99,118 and an Internal Rate of Return of approximately 28%. While these results remain strong, they fall slightly below the valuation achieved in Scenario 3 due to the heavier cost burden and increased financing risk.</a:t>
          </a:r>
        </a:p>
        <a:p>
          <a:r>
            <a:rPr lang="en-US" sz="1000"/>
            <a:t>From a strategic perspective, the results of the scenario analysis highlight the importance of balancing growth with operational discipline and capital structure management. While Scenario 4 demonstrates the fastest revenue expansion, it also introduces higher cost pressures and financial risk that ultimately reduce the overall value generated relative to Scenario 3. Conversely, Scenario 1 demonstrates that overly conservative growth strategies may limit the company’s ability to maximize shareholder returns. Scenario 2 provides a balanced approach that improves operational efficiency while maintaining manageable financing conditions, but it still does not achieve the full potential value creation observed in Scenario 3.</a:t>
          </a:r>
        </a:p>
        <a:p>
          <a:r>
            <a:rPr lang="en-US" sz="1000"/>
            <a:t>Based on the financial results generated by the model, Scenario 3 appears to represent the most attractive strategic direction for management to pursue. This scenario combines strong revenue growth with meaningful improvements in operating efficiency while maintaining financing conditions that remain manageable relative to the value created. The resulting Internal Rate of Return of approximately 29% represents the highest return profile among the scenarios evaluated, while the Net Present Value of over $100,000 indicates substantial long-term value creation.</a:t>
          </a:r>
        </a:p>
        <a:p>
          <a:r>
            <a:rPr lang="en-US" sz="1000"/>
            <a:t>However, management should also recognize that the aggressive growth strategy embedded in Scenario 3 requires careful execution. Achieving sustained revenue growth above 20% annually will likely require significant investment in market expansion, product development, and operational scalability. While research and development expenditures remain relatively modest in the model, management may need to increase innovation investment in order to sustain such high growth rates. Additionally, maintaining operational efficiency while scaling rapidly will require strong supply chain management, cost discipline, and continuous process improvement.</a:t>
          </a:r>
        </a:p>
        <a:p>
          <a:r>
            <a:rPr lang="en-US" sz="1000"/>
            <a:t>To successfully implement a strategy similar to Scenario 3, management should focus on several key priorities moving forward. First, leadership should invest strategically in revenue-generating initiatives that expand market share while maintaining strong pricing discipline. Second, operational management should prioritize cost efficiency initiatives that reduce cost of goods sold as a percentage of revenue. Improvements in supply chain efficiency, procurement strategies, and production processes could help achieve the margin improvements observed in the model. Third, the company should carefully monitor its capital structure to ensure that rising interest rates and financing costs do not erode profitability as growth accelerates.</a:t>
          </a:r>
        </a:p>
        <a:p>
          <a:r>
            <a:rPr lang="en-US" sz="1000"/>
            <a:t>In addition to these operational considerations, the company should continue refining its financial planning capabilities to support strategic decision making. The scenario-based financial modeling framework developed in this analysis represents a powerful tool for evaluating strategic trade-offs and forecasting future financial performance. By continuously updating the model with real financial data and adjusting assumptions to reflect evolving market conditions, management can maintain a forward-looking view of financial performance and make more informed strategic decisions.</a:t>
          </a:r>
        </a:p>
        <a:p>
          <a:r>
            <a:rPr lang="en-US" sz="1000"/>
            <a:t>Overall, the scenario analysis demonstrates that disciplined growth strategies supported by operational efficiency and prudent financial management can significantly enhance shareholder value. The financial model highlights how relatively small adjustments in revenue growth, cost structures, and financing conditions can compound over time to produce substantial differences in firm valuation. Through the development of a dynamic Excel model incorporating scenario switching, conditional logic, and integrated financial projections, we were able to create a flexible analytical framework capable of evaluating multiple strategic futures for the company.</a:t>
          </a:r>
        </a:p>
        <a:p>
          <a:r>
            <a:rPr lang="en-US" sz="1000"/>
            <a:t>In conclusion, the results of this analysis suggest that pursuing a strategy similar to Scenario 3 offers the greatest potential for long-term value creation while maintaining a manageable level of operational and financial risk. By focusing on sustained revenue expansion, improving cost efficiency, and maintaining disciplined financial management, the company can position itself to maximize profitability, strengthen its competitive position, and generate meaningful returns for shareholders in the years ahead.</a:t>
          </a:r>
        </a:p>
      </xdr:txBody>
    </xdr:sp>
    <xdr:clientData/>
  </xdr:twoCellAnchor>
  <xdr:twoCellAnchor>
    <xdr:from>
      <xdr:col>12</xdr:col>
      <xdr:colOff>204106</xdr:colOff>
      <xdr:row>9</xdr:row>
      <xdr:rowOff>176892</xdr:rowOff>
    </xdr:from>
    <xdr:to>
      <xdr:col>19</xdr:col>
      <xdr:colOff>729886</xdr:colOff>
      <xdr:row>27</xdr:row>
      <xdr:rowOff>131172</xdr:rowOff>
    </xdr:to>
    <xdr:graphicFrame macro="">
      <xdr:nvGraphicFramePr>
        <xdr:cNvPr id="5" name="Chart 4">
          <a:extLst>
            <a:ext uri="{FF2B5EF4-FFF2-40B4-BE49-F238E27FC236}">
              <a16:creationId xmlns:a16="http://schemas.microsoft.com/office/drawing/2014/main" id="{4457A9E7-26C6-4B0B-97F5-8B445156F1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312964</xdr:colOff>
      <xdr:row>9</xdr:row>
      <xdr:rowOff>176892</xdr:rowOff>
    </xdr:from>
    <xdr:to>
      <xdr:col>28</xdr:col>
      <xdr:colOff>103958</xdr:colOff>
      <xdr:row>27</xdr:row>
      <xdr:rowOff>131172</xdr:rowOff>
    </xdr:to>
    <xdr:graphicFrame macro="">
      <xdr:nvGraphicFramePr>
        <xdr:cNvPr id="6" name="Chart 5">
          <a:extLst>
            <a:ext uri="{FF2B5EF4-FFF2-40B4-BE49-F238E27FC236}">
              <a16:creationId xmlns:a16="http://schemas.microsoft.com/office/drawing/2014/main" id="{A6553932-BD59-4E31-9E27-4CBBA989A1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231321</xdr:colOff>
      <xdr:row>29</xdr:row>
      <xdr:rowOff>95250</xdr:rowOff>
    </xdr:from>
    <xdr:to>
      <xdr:col>20</xdr:col>
      <xdr:colOff>653144</xdr:colOff>
      <xdr:row>47</xdr:row>
      <xdr:rowOff>49530</xdr:rowOff>
    </xdr:to>
    <xdr:graphicFrame macro="">
      <xdr:nvGraphicFramePr>
        <xdr:cNvPr id="7" name="Chart 6">
          <a:extLst>
            <a:ext uri="{FF2B5EF4-FFF2-40B4-BE49-F238E27FC236}">
              <a16:creationId xmlns:a16="http://schemas.microsoft.com/office/drawing/2014/main" id="{31F1F480-0A69-40C8-8208-50B285AAEC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21</xdr:col>
      <xdr:colOff>81643</xdr:colOff>
      <xdr:row>29</xdr:row>
      <xdr:rowOff>95251</xdr:rowOff>
    </xdr:from>
    <xdr:to>
      <xdr:col>28</xdr:col>
      <xdr:colOff>607423</xdr:colOff>
      <xdr:row>47</xdr:row>
      <xdr:rowOff>49531</xdr:rowOff>
    </xdr:to>
    <xdr:graphicFrame macro="">
      <xdr:nvGraphicFramePr>
        <xdr:cNvPr id="10" name="Chart 9">
          <a:extLst>
            <a:ext uri="{FF2B5EF4-FFF2-40B4-BE49-F238E27FC236}">
              <a16:creationId xmlns:a16="http://schemas.microsoft.com/office/drawing/2014/main" id="{CFFB0DE2-7267-470F-89D2-6ABA5F039C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421821</xdr:colOff>
      <xdr:row>9</xdr:row>
      <xdr:rowOff>176892</xdr:rowOff>
    </xdr:from>
    <xdr:to>
      <xdr:col>36</xdr:col>
      <xdr:colOff>212815</xdr:colOff>
      <xdr:row>27</xdr:row>
      <xdr:rowOff>131172</xdr:rowOff>
    </xdr:to>
    <xdr:graphicFrame macro="">
      <xdr:nvGraphicFramePr>
        <xdr:cNvPr id="13" name="Chart 12">
          <a:extLst>
            <a:ext uri="{FF2B5EF4-FFF2-40B4-BE49-F238E27FC236}">
              <a16:creationId xmlns:a16="http://schemas.microsoft.com/office/drawing/2014/main" id="{56504A46-325E-4A85-BC06-246CCE2E87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29</xdr:col>
      <xdr:colOff>81643</xdr:colOff>
      <xdr:row>29</xdr:row>
      <xdr:rowOff>108855</xdr:rowOff>
    </xdr:from>
    <xdr:to>
      <xdr:col>35</xdr:col>
      <xdr:colOff>217715</xdr:colOff>
      <xdr:row>47</xdr:row>
      <xdr:rowOff>54428</xdr:rowOff>
    </xdr:to>
    <xdr:graphicFrame macro="">
      <xdr:nvGraphicFramePr>
        <xdr:cNvPr id="3" name="Chart 2">
          <a:extLst>
            <a:ext uri="{FF2B5EF4-FFF2-40B4-BE49-F238E27FC236}">
              <a16:creationId xmlns:a16="http://schemas.microsoft.com/office/drawing/2014/main" id="{7523B50E-9757-42A2-AF98-821661B12F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190499</xdr:colOff>
      <xdr:row>48</xdr:row>
      <xdr:rowOff>108857</xdr:rowOff>
    </xdr:from>
    <xdr:to>
      <xdr:col>18</xdr:col>
      <xdr:colOff>421820</xdr:colOff>
      <xdr:row>66</xdr:row>
      <xdr:rowOff>13607</xdr:rowOff>
    </xdr:to>
    <mc:AlternateContent xmlns:mc="http://schemas.openxmlformats.org/markup-compatibility/2006">
      <mc:Choice xmlns:cx2="http://schemas.microsoft.com/office/drawing/2015/10/21/chartex" Requires="cx2">
        <xdr:graphicFrame macro="">
          <xdr:nvGraphicFramePr>
            <xdr:cNvPr id="4" name="Chart 3">
              <a:extLst>
                <a:ext uri="{FF2B5EF4-FFF2-40B4-BE49-F238E27FC236}">
                  <a16:creationId xmlns:a16="http://schemas.microsoft.com/office/drawing/2014/main" id="{A5EAE0E2-5EA3-4608-8FFB-7B32801A9A0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8991599" y="9548132"/>
              <a:ext cx="4631871" cy="333375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18</xdr:col>
      <xdr:colOff>693963</xdr:colOff>
      <xdr:row>48</xdr:row>
      <xdr:rowOff>122463</xdr:rowOff>
    </xdr:from>
    <xdr:to>
      <xdr:col>25</xdr:col>
      <xdr:colOff>530678</xdr:colOff>
      <xdr:row>65</xdr:row>
      <xdr:rowOff>176892</xdr:rowOff>
    </xdr:to>
    <xdr:graphicFrame macro="">
      <xdr:nvGraphicFramePr>
        <xdr:cNvPr id="8" name="Chart 7">
          <a:extLst>
            <a:ext uri="{FF2B5EF4-FFF2-40B4-BE49-F238E27FC236}">
              <a16:creationId xmlns:a16="http://schemas.microsoft.com/office/drawing/2014/main" id="{B66971BD-622D-4911-A5DF-5D4062DB35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26</xdr:col>
      <xdr:colOff>0</xdr:colOff>
      <xdr:row>49</xdr:row>
      <xdr:rowOff>0</xdr:rowOff>
    </xdr:from>
    <xdr:to>
      <xdr:col>33</xdr:col>
      <xdr:colOff>244928</xdr:colOff>
      <xdr:row>66</xdr:row>
      <xdr:rowOff>0</xdr:rowOff>
    </xdr:to>
    <xdr:graphicFrame macro="">
      <xdr:nvGraphicFramePr>
        <xdr:cNvPr id="9" name="Chart 8">
          <a:extLst>
            <a:ext uri="{FF2B5EF4-FFF2-40B4-BE49-F238E27FC236}">
              <a16:creationId xmlns:a16="http://schemas.microsoft.com/office/drawing/2014/main" id="{9372E253-1A07-4CFD-A4DD-CCA70E4823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457200</xdr:colOff>
      <xdr:row>1</xdr:row>
      <xdr:rowOff>114300</xdr:rowOff>
    </xdr:from>
    <xdr:to>
      <xdr:col>9</xdr:col>
      <xdr:colOff>66675</xdr:colOff>
      <xdr:row>28</xdr:row>
      <xdr:rowOff>133350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457200" y="314325"/>
          <a:ext cx="5781675" cy="5419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200">
              <a:solidFill>
                <a:schemeClr val="dk1"/>
              </a:solidFill>
              <a:effectLst/>
              <a:latin typeface="+mn-lt"/>
              <a:ea typeface="+mn-ea"/>
              <a:cs typeface="+mn-cs"/>
            </a:rPr>
            <a:t>Copyright Michael Nugent ©</a:t>
          </a:r>
          <a:r>
            <a:rPr lang="en-US" sz="1200" baseline="0">
              <a:solidFill>
                <a:schemeClr val="dk1"/>
              </a:solidFill>
              <a:effectLst/>
              <a:latin typeface="+mn-lt"/>
              <a:ea typeface="+mn-ea"/>
              <a:cs typeface="+mn-cs"/>
            </a:rPr>
            <a:t> </a:t>
          </a:r>
          <a:endParaRPr lang="en-US" sz="1200">
            <a:effectLst/>
          </a:endParaRPr>
        </a:p>
        <a:p>
          <a:r>
            <a:rPr lang="en-US" sz="1200" b="1">
              <a:solidFill>
                <a:schemeClr val="dk1"/>
              </a:solidFill>
              <a:effectLst/>
              <a:latin typeface="+mn-lt"/>
              <a:ea typeface="+mn-ea"/>
              <a:cs typeface="+mn-cs"/>
            </a:rPr>
            <a:t>MEMO </a:t>
          </a:r>
          <a:endParaRPr lang="en-US" sz="1200">
            <a:effectLst/>
          </a:endParaRPr>
        </a:p>
        <a:p>
          <a:r>
            <a:rPr lang="en-US" sz="1200" b="1">
              <a:solidFill>
                <a:schemeClr val="dk1"/>
              </a:solidFill>
              <a:effectLst/>
              <a:latin typeface="+mn-lt"/>
              <a:ea typeface="+mn-ea"/>
              <a:cs typeface="+mn-cs"/>
            </a:rPr>
            <a:t>To: Financial Analyst Employee</a:t>
          </a:r>
          <a:endParaRPr lang="en-US" sz="1200">
            <a:effectLst/>
          </a:endParaRPr>
        </a:p>
        <a:p>
          <a:r>
            <a:rPr lang="en-US" sz="1200" b="1">
              <a:solidFill>
                <a:schemeClr val="dk1"/>
              </a:solidFill>
              <a:effectLst/>
              <a:latin typeface="+mn-lt"/>
              <a:ea typeface="+mn-ea"/>
              <a:cs typeface="+mn-cs"/>
            </a:rPr>
            <a:t>From: CFO</a:t>
          </a:r>
          <a:endParaRPr lang="en-US" sz="1200">
            <a:effectLst/>
          </a:endParaRPr>
        </a:p>
        <a:p>
          <a:r>
            <a:rPr lang="en-US" sz="1200" b="1">
              <a:solidFill>
                <a:schemeClr val="dk1"/>
              </a:solidFill>
              <a:effectLst/>
              <a:latin typeface="+mn-lt"/>
              <a:ea typeface="+mn-ea"/>
              <a:cs typeface="+mn-cs"/>
            </a:rPr>
            <a:t>Subject: Four Scenario Financial Model </a:t>
          </a:r>
        </a:p>
        <a:p>
          <a:endParaRPr lang="en-US" sz="1200" b="1">
            <a:solidFill>
              <a:schemeClr val="dk1"/>
            </a:solidFill>
            <a:effectLst/>
            <a:latin typeface="+mn-lt"/>
            <a:ea typeface="+mn-ea"/>
            <a:cs typeface="+mn-cs"/>
          </a:endParaRPr>
        </a:p>
        <a:p>
          <a:endParaRPr lang="en-US" sz="1200" b="1">
            <a:solidFill>
              <a:schemeClr val="dk1"/>
            </a:solidFill>
            <a:effectLst/>
            <a:latin typeface="+mn-lt"/>
            <a:ea typeface="+mn-ea"/>
            <a:cs typeface="+mn-cs"/>
          </a:endParaRPr>
        </a:p>
        <a:p>
          <a:r>
            <a:rPr lang="en-US" sz="1200" b="1">
              <a:solidFill>
                <a:schemeClr val="dk1"/>
              </a:solidFill>
              <a:effectLst/>
              <a:latin typeface="+mn-lt"/>
              <a:ea typeface="+mn-ea"/>
              <a:cs typeface="+mn-cs"/>
            </a:rPr>
            <a:t>1) Follow the instructions to complete the financial modeling worksheet "FMSA"</a:t>
          </a:r>
        </a:p>
        <a:p>
          <a:endParaRPr lang="en-US" sz="1200" b="1">
            <a:solidFill>
              <a:schemeClr val="dk1"/>
            </a:solidFill>
            <a:effectLst/>
            <a:latin typeface="+mn-lt"/>
            <a:ea typeface="+mn-ea"/>
            <a:cs typeface="+mn-cs"/>
          </a:endParaRPr>
        </a:p>
        <a:p>
          <a:r>
            <a:rPr lang="en-US" sz="1200" b="1"/>
            <a:t>Use if statements and data validation to calculate fours scenarios for this financial model. </a:t>
          </a:r>
        </a:p>
        <a:p>
          <a:endParaRPr lang="en-US" sz="1200" b="1"/>
        </a:p>
        <a:p>
          <a:r>
            <a:rPr lang="en-US" sz="1200" b="1"/>
            <a:t>The</a:t>
          </a:r>
          <a:r>
            <a:rPr lang="en-US" sz="1200" b="1" baseline="0"/>
            <a:t> goal is to use if statements to connect to t</a:t>
          </a:r>
          <a:r>
            <a:rPr lang="en-US" sz="1200" b="1"/>
            <a:t>he Scenario box.</a:t>
          </a:r>
          <a:r>
            <a:rPr lang="en-US" sz="1200" b="1" baseline="0"/>
            <a:t> </a:t>
          </a:r>
          <a:r>
            <a:rPr lang="en-US" sz="1200" b="1"/>
            <a:t> When</a:t>
          </a:r>
          <a:r>
            <a:rPr lang="en-US" sz="1200" b="1" baseline="0"/>
            <a:t> </a:t>
          </a:r>
          <a:r>
            <a:rPr lang="en-US" sz="1200" b="1"/>
            <a:t>cell K14</a:t>
          </a:r>
          <a:r>
            <a:rPr lang="en-US" sz="1200" b="1" baseline="0"/>
            <a:t> is changed between 1,2,3,4 this will trigger the if statements to automatically update the financial model.  Use Data Validation in cell K14 to create a list pull down for (1,2,3,4).</a:t>
          </a:r>
        </a:p>
        <a:p>
          <a:endParaRPr lang="en-US" sz="1200" b="1"/>
        </a:p>
        <a:p>
          <a:r>
            <a:rPr lang="en-US" sz="1200" b="1"/>
            <a:t>Use</a:t>
          </a:r>
          <a:r>
            <a:rPr lang="en-US" sz="1200" b="1" baseline="0"/>
            <a:t> the scenario information to create if statements for rows 47-50 highlighted in </a:t>
          </a:r>
          <a:r>
            <a:rPr lang="en-US" sz="1200" b="1" baseline="0">
              <a:solidFill>
                <a:schemeClr val="tx1"/>
              </a:solidFill>
            </a:rPr>
            <a:t>yellow, a</a:t>
          </a:r>
          <a:r>
            <a:rPr lang="en-US" sz="1200" b="1">
              <a:solidFill>
                <a:schemeClr val="dk1"/>
              </a:solidFill>
              <a:latin typeface="+mn-lt"/>
              <a:ea typeface="+mn-ea"/>
              <a:cs typeface="+mn-cs"/>
            </a:rPr>
            <a:t>nd 52-56 highlighted in Green.</a:t>
          </a:r>
        </a:p>
        <a:p>
          <a:endParaRPr lang="en-US" sz="1200" b="1" baseline="0"/>
        </a:p>
        <a:p>
          <a:r>
            <a:rPr lang="en-US" sz="1200" b="1" baseline="0"/>
            <a:t>Calculate NPV and IRR based on Leveraged free cash flow (row 100), see comment in cells K17 &amp; L17.</a:t>
          </a:r>
        </a:p>
        <a:p>
          <a:endParaRPr lang="en-US" sz="1200" b="1">
            <a:solidFill>
              <a:schemeClr val="dk1"/>
            </a:solidFill>
            <a:effectLst/>
            <a:latin typeface="+mn-lt"/>
            <a:ea typeface="+mn-ea"/>
            <a:cs typeface="+mn-cs"/>
          </a:endParaRPr>
        </a:p>
        <a:p>
          <a:r>
            <a:rPr lang="en-US" sz="1200" b="1">
              <a:solidFill>
                <a:schemeClr val="dk1"/>
              </a:solidFill>
              <a:effectLst/>
              <a:latin typeface="+mn-lt"/>
              <a:ea typeface="+mn-ea"/>
              <a:cs typeface="+mn-cs"/>
            </a:rPr>
            <a:t>2)</a:t>
          </a:r>
          <a:r>
            <a:rPr lang="en-US" sz="1200" b="1" baseline="0">
              <a:solidFill>
                <a:schemeClr val="dk1"/>
              </a:solidFill>
              <a:effectLst/>
              <a:latin typeface="+mn-lt"/>
              <a:ea typeface="+mn-ea"/>
              <a:cs typeface="+mn-cs"/>
            </a:rPr>
            <a:t> Create an executive summary  to analyze each of the scenarios 1,2,3,4</a:t>
          </a:r>
        </a:p>
        <a:p>
          <a:endParaRPr lang="en-US" sz="1200" b="1" baseline="0">
            <a:solidFill>
              <a:schemeClr val="dk1"/>
            </a:solidFill>
            <a:effectLst/>
            <a:latin typeface="+mn-lt"/>
            <a:ea typeface="+mn-ea"/>
            <a:cs typeface="+mn-cs"/>
          </a:endParaRPr>
        </a:p>
        <a:p>
          <a:r>
            <a:rPr lang="en-US" sz="1200" b="1" baseline="0">
              <a:solidFill>
                <a:schemeClr val="dk1"/>
              </a:solidFill>
              <a:effectLst/>
              <a:latin typeface="+mn-lt"/>
              <a:ea typeface="+mn-ea"/>
              <a:cs typeface="+mn-cs"/>
            </a:rPr>
            <a:t>3) Make sure you create charts or graphs and place them in the executive summary dashboard. </a:t>
          </a:r>
        </a:p>
        <a:p>
          <a:endParaRPr lang="en-US" sz="1100" b="1" baseline="0">
            <a:solidFill>
              <a:schemeClr val="dk1"/>
            </a:solidFill>
            <a:effectLst/>
            <a:latin typeface="+mn-lt"/>
            <a:ea typeface="+mn-ea"/>
            <a:cs typeface="+mn-cs"/>
          </a:endParaRPr>
        </a:p>
        <a:p>
          <a:endParaRPr lang="en-US" sz="1100" b="1" baseline="0">
            <a:solidFill>
              <a:schemeClr val="dk1"/>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152400</xdr:colOff>
      <xdr:row>3</xdr:row>
      <xdr:rowOff>88900</xdr:rowOff>
    </xdr:from>
    <xdr:to>
      <xdr:col>22</xdr:col>
      <xdr:colOff>419100</xdr:colOff>
      <xdr:row>22</xdr:row>
      <xdr:rowOff>76200</xdr:rowOff>
    </xdr:to>
    <xdr:sp macro="" textlink="">
      <xdr:nvSpPr>
        <xdr:cNvPr id="2" name="TextBox 1">
          <a:extLst>
            <a:ext uri="{FF2B5EF4-FFF2-40B4-BE49-F238E27FC236}">
              <a16:creationId xmlns:a16="http://schemas.microsoft.com/office/drawing/2014/main" id="{E826F42B-AAE3-0745-94AD-9EA328991178}"/>
            </a:ext>
          </a:extLst>
        </xdr:cNvPr>
        <xdr:cNvSpPr txBox="1"/>
      </xdr:nvSpPr>
      <xdr:spPr>
        <a:xfrm>
          <a:off x="11003280" y="889000"/>
          <a:ext cx="7810500" cy="385064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t>Use if statements to create four scenarios for this financial model. </a:t>
          </a:r>
        </a:p>
        <a:p>
          <a:endParaRPr lang="en-US" sz="2000"/>
        </a:p>
        <a:p>
          <a:r>
            <a:rPr lang="en-US" sz="2000"/>
            <a:t>The</a:t>
          </a:r>
          <a:r>
            <a:rPr lang="en-US" sz="2000" baseline="0"/>
            <a:t> goal is to use if statements to connect to t</a:t>
          </a:r>
          <a:r>
            <a:rPr lang="en-US" sz="2000"/>
            <a:t>he Scenario box.</a:t>
          </a:r>
          <a:r>
            <a:rPr lang="en-US" sz="2000" baseline="0"/>
            <a:t> </a:t>
          </a:r>
          <a:r>
            <a:rPr lang="en-US" sz="2000"/>
            <a:t> When</a:t>
          </a:r>
          <a:r>
            <a:rPr lang="en-US" sz="2000" baseline="0"/>
            <a:t> </a:t>
          </a:r>
          <a:r>
            <a:rPr lang="en-US" sz="2000"/>
            <a:t>cell K14</a:t>
          </a:r>
          <a:r>
            <a:rPr lang="en-US" sz="2000" baseline="0"/>
            <a:t> is changed between 1,2,3,4 this will trigger the if statements to automatically update the financial model.  Use Data Validation </a:t>
          </a:r>
        </a:p>
        <a:p>
          <a:endParaRPr lang="en-US" sz="2000"/>
        </a:p>
        <a:p>
          <a:r>
            <a:rPr lang="en-US" sz="2000"/>
            <a:t>Use</a:t>
          </a:r>
          <a:r>
            <a:rPr lang="en-US" sz="2000" baseline="0"/>
            <a:t> the scenario information below to create if statements for rows 47-50 highlighted in </a:t>
          </a:r>
          <a:r>
            <a:rPr lang="en-US" sz="2000" baseline="0">
              <a:solidFill>
                <a:schemeClr val="tx1"/>
              </a:solidFill>
            </a:rPr>
            <a:t>yellow.  And 52-56 highlighted in Green.</a:t>
          </a:r>
          <a:endParaRPr lang="en-US" sz="2000" baseline="0">
            <a:solidFill>
              <a:srgbClr val="FFFF00"/>
            </a:solidFill>
          </a:endParaRPr>
        </a:p>
        <a:p>
          <a:endParaRPr lang="en-US" sz="2000" baseline="0"/>
        </a:p>
        <a:p>
          <a:r>
            <a:rPr lang="en-US" sz="2000" baseline="0"/>
            <a:t>Calculate NPV and IRR based on Leveraged free cash flow (row 100), see comment in cell K17 &amp; L17.</a:t>
          </a:r>
        </a:p>
        <a:p>
          <a:r>
            <a:rPr lang="en-US" sz="2000" baseline="0"/>
            <a:t>Please create an Executive Summary and Dashboard</a:t>
          </a:r>
        </a:p>
      </xdr:txBody>
    </xdr:sp>
    <xdr:clientData/>
  </xdr:twoCellAnchor>
  <xdr:twoCellAnchor>
    <xdr:from>
      <xdr:col>12</xdr:col>
      <xdr:colOff>474980</xdr:colOff>
      <xdr:row>15</xdr:row>
      <xdr:rowOff>152400</xdr:rowOff>
    </xdr:from>
    <xdr:to>
      <xdr:col>16</xdr:col>
      <xdr:colOff>160020</xdr:colOff>
      <xdr:row>46</xdr:row>
      <xdr:rowOff>22860</xdr:rowOff>
    </xdr:to>
    <xdr:cxnSp macro="">
      <xdr:nvCxnSpPr>
        <xdr:cNvPr id="3" name="Straight Arrow Connector 2">
          <a:extLst>
            <a:ext uri="{FF2B5EF4-FFF2-40B4-BE49-F238E27FC236}">
              <a16:creationId xmlns:a16="http://schemas.microsoft.com/office/drawing/2014/main" id="{169279C0-182D-8D4A-9D2D-3706FE9D2A45}"/>
            </a:ext>
          </a:extLst>
        </xdr:cNvPr>
        <xdr:cNvCxnSpPr/>
      </xdr:nvCxnSpPr>
      <xdr:spPr>
        <a:xfrm flipH="1">
          <a:off x="10487660" y="3421380"/>
          <a:ext cx="3037840" cy="6088380"/>
        </a:xfrm>
        <a:prstGeom prst="straightConnector1">
          <a:avLst/>
        </a:prstGeom>
        <a:ln w="825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38100</xdr:colOff>
      <xdr:row>7</xdr:row>
      <xdr:rowOff>25400</xdr:rowOff>
    </xdr:from>
    <xdr:to>
      <xdr:col>13</xdr:col>
      <xdr:colOff>241300</xdr:colOff>
      <xdr:row>12</xdr:row>
      <xdr:rowOff>127000</xdr:rowOff>
    </xdr:to>
    <xdr:cxnSp macro="">
      <xdr:nvCxnSpPr>
        <xdr:cNvPr id="4" name="Straight Arrow Connector 3">
          <a:extLst>
            <a:ext uri="{FF2B5EF4-FFF2-40B4-BE49-F238E27FC236}">
              <a16:creationId xmlns:a16="http://schemas.microsoft.com/office/drawing/2014/main" id="{0AC6624C-C213-2D4B-A1A9-FB2F89495980}"/>
            </a:ext>
          </a:extLst>
        </xdr:cNvPr>
        <xdr:cNvCxnSpPr/>
      </xdr:nvCxnSpPr>
      <xdr:spPr>
        <a:xfrm flipH="1">
          <a:off x="9283700" y="1651000"/>
          <a:ext cx="1879600" cy="1130300"/>
        </a:xfrm>
        <a:prstGeom prst="straightConnector1">
          <a:avLst/>
        </a:prstGeom>
        <a:ln w="825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165100</xdr:colOff>
      <xdr:row>14</xdr:row>
      <xdr:rowOff>25400</xdr:rowOff>
    </xdr:from>
    <xdr:to>
      <xdr:col>17</xdr:col>
      <xdr:colOff>279400</xdr:colOff>
      <xdr:row>22</xdr:row>
      <xdr:rowOff>114300</xdr:rowOff>
    </xdr:to>
    <xdr:cxnSp macro="">
      <xdr:nvCxnSpPr>
        <xdr:cNvPr id="5" name="Straight Arrow Connector 4">
          <a:extLst>
            <a:ext uri="{FF2B5EF4-FFF2-40B4-BE49-F238E27FC236}">
              <a16:creationId xmlns:a16="http://schemas.microsoft.com/office/drawing/2014/main" id="{C9E36384-3EC7-0F4F-AAB3-0679699B5C8A}"/>
            </a:ext>
          </a:extLst>
        </xdr:cNvPr>
        <xdr:cNvCxnSpPr/>
      </xdr:nvCxnSpPr>
      <xdr:spPr>
        <a:xfrm flipH="1">
          <a:off x="14389100" y="3162300"/>
          <a:ext cx="114300" cy="1739900"/>
        </a:xfrm>
        <a:prstGeom prst="straightConnector1">
          <a:avLst/>
        </a:prstGeom>
        <a:ln w="635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660400</xdr:colOff>
      <xdr:row>15</xdr:row>
      <xdr:rowOff>50800</xdr:rowOff>
    </xdr:from>
    <xdr:to>
      <xdr:col>13</xdr:col>
      <xdr:colOff>101600</xdr:colOff>
      <xdr:row>17</xdr:row>
      <xdr:rowOff>177800</xdr:rowOff>
    </xdr:to>
    <xdr:cxnSp macro="">
      <xdr:nvCxnSpPr>
        <xdr:cNvPr id="6" name="Straight Arrow Connector 5">
          <a:extLst>
            <a:ext uri="{FF2B5EF4-FFF2-40B4-BE49-F238E27FC236}">
              <a16:creationId xmlns:a16="http://schemas.microsoft.com/office/drawing/2014/main" id="{0CA0E5EC-53C8-FE46-9E78-958164C99470}"/>
            </a:ext>
          </a:extLst>
        </xdr:cNvPr>
        <xdr:cNvCxnSpPr/>
      </xdr:nvCxnSpPr>
      <xdr:spPr>
        <a:xfrm flipH="1" flipV="1">
          <a:off x="9906000" y="3403600"/>
          <a:ext cx="1117600" cy="546100"/>
        </a:xfrm>
        <a:prstGeom prst="straightConnector1">
          <a:avLst/>
        </a:prstGeom>
        <a:ln w="635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213360</xdr:colOff>
      <xdr:row>47</xdr:row>
      <xdr:rowOff>0</xdr:rowOff>
    </xdr:from>
    <xdr:to>
      <xdr:col>14</xdr:col>
      <xdr:colOff>114300</xdr:colOff>
      <xdr:row>51</xdr:row>
      <xdr:rowOff>121920</xdr:rowOff>
    </xdr:to>
    <xdr:cxnSp macro="">
      <xdr:nvCxnSpPr>
        <xdr:cNvPr id="7" name="Straight Arrow Connector 6">
          <a:extLst>
            <a:ext uri="{FF2B5EF4-FFF2-40B4-BE49-F238E27FC236}">
              <a16:creationId xmlns:a16="http://schemas.microsoft.com/office/drawing/2014/main" id="{FD07DA7D-1B04-4B48-8B19-B71DC884D162}"/>
            </a:ext>
          </a:extLst>
        </xdr:cNvPr>
        <xdr:cNvCxnSpPr/>
      </xdr:nvCxnSpPr>
      <xdr:spPr>
        <a:xfrm flipH="1">
          <a:off x="10226040" y="9791700"/>
          <a:ext cx="1577340" cy="1219200"/>
        </a:xfrm>
        <a:prstGeom prst="straightConnector1">
          <a:avLst/>
        </a:prstGeom>
        <a:ln w="635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768351</xdr:colOff>
      <xdr:row>75</xdr:row>
      <xdr:rowOff>12699</xdr:rowOff>
    </xdr:from>
    <xdr:to>
      <xdr:col>22</xdr:col>
      <xdr:colOff>47626</xdr:colOff>
      <xdr:row>90</xdr:row>
      <xdr:rowOff>47625</xdr:rowOff>
    </xdr:to>
    <xdr:graphicFrame macro="">
      <xdr:nvGraphicFramePr>
        <xdr:cNvPr id="10" name="Chart 9">
          <a:extLst>
            <a:ext uri="{FF2B5EF4-FFF2-40B4-BE49-F238E27FC236}">
              <a16:creationId xmlns:a16="http://schemas.microsoft.com/office/drawing/2014/main" id="{31A673CB-06A9-7725-38DE-76EA5F4307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460374</xdr:colOff>
      <xdr:row>70</xdr:row>
      <xdr:rowOff>25399</xdr:rowOff>
    </xdr:from>
    <xdr:to>
      <xdr:col>29</xdr:col>
      <xdr:colOff>142874</xdr:colOff>
      <xdr:row>86</xdr:row>
      <xdr:rowOff>126999</xdr:rowOff>
    </xdr:to>
    <xdr:graphicFrame macro="">
      <xdr:nvGraphicFramePr>
        <xdr:cNvPr id="13" name="Chart 12">
          <a:extLst>
            <a:ext uri="{FF2B5EF4-FFF2-40B4-BE49-F238E27FC236}">
              <a16:creationId xmlns:a16="http://schemas.microsoft.com/office/drawing/2014/main" id="{C69FBE01-6357-7C09-0A81-04AEF674C9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92</xdr:row>
      <xdr:rowOff>0</xdr:rowOff>
    </xdr:from>
    <xdr:to>
      <xdr:col>19</xdr:col>
      <xdr:colOff>404813</xdr:colOff>
      <xdr:row>105</xdr:row>
      <xdr:rowOff>28575</xdr:rowOff>
    </xdr:to>
    <xdr:graphicFrame macro="">
      <xdr:nvGraphicFramePr>
        <xdr:cNvPr id="9" name="Chart 8">
          <a:extLst>
            <a:ext uri="{FF2B5EF4-FFF2-40B4-BE49-F238E27FC236}">
              <a16:creationId xmlns:a16="http://schemas.microsoft.com/office/drawing/2014/main" id="{5958D8D9-2496-3AC0-F15A-BB915D7BAE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428625</xdr:colOff>
      <xdr:row>164</xdr:row>
      <xdr:rowOff>152401</xdr:rowOff>
    </xdr:from>
    <xdr:to>
      <xdr:col>19</xdr:col>
      <xdr:colOff>0</xdr:colOff>
      <xdr:row>178</xdr:row>
      <xdr:rowOff>61913</xdr:rowOff>
    </xdr:to>
    <xdr:graphicFrame macro="">
      <xdr:nvGraphicFramePr>
        <xdr:cNvPr id="8" name="Chart 7">
          <a:extLst>
            <a:ext uri="{FF2B5EF4-FFF2-40B4-BE49-F238E27FC236}">
              <a16:creationId xmlns:a16="http://schemas.microsoft.com/office/drawing/2014/main" id="{E4E8A7A9-B7AD-5186-6574-8D62A6B43A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631031</xdr:colOff>
      <xdr:row>91</xdr:row>
      <xdr:rowOff>176212</xdr:rowOff>
    </xdr:from>
    <xdr:to>
      <xdr:col>25</xdr:col>
      <xdr:colOff>202406</xdr:colOff>
      <xdr:row>105</xdr:row>
      <xdr:rowOff>2381</xdr:rowOff>
    </xdr:to>
    <xdr:graphicFrame macro="">
      <xdr:nvGraphicFramePr>
        <xdr:cNvPr id="11" name="Chart 10">
          <a:extLst>
            <a:ext uri="{FF2B5EF4-FFF2-40B4-BE49-F238E27FC236}">
              <a16:creationId xmlns:a16="http://schemas.microsoft.com/office/drawing/2014/main" id="{ECCF0CCC-534B-170F-F4D4-EAE8153F5B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440532</xdr:colOff>
      <xdr:row>149</xdr:row>
      <xdr:rowOff>69056</xdr:rowOff>
    </xdr:from>
    <xdr:to>
      <xdr:col>19</xdr:col>
      <xdr:colOff>11907</xdr:colOff>
      <xdr:row>162</xdr:row>
      <xdr:rowOff>180975</xdr:rowOff>
    </xdr:to>
    <xdr:graphicFrame macro="">
      <xdr:nvGraphicFramePr>
        <xdr:cNvPr id="12" name="Chart 11">
          <a:extLst>
            <a:ext uri="{FF2B5EF4-FFF2-40B4-BE49-F238E27FC236}">
              <a16:creationId xmlns:a16="http://schemas.microsoft.com/office/drawing/2014/main" id="{B1AE93CD-EF84-C6B1-12BA-6E7B33195C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14</xdr:col>
      <xdr:colOff>462644</xdr:colOff>
      <xdr:row>130</xdr:row>
      <xdr:rowOff>57150</xdr:rowOff>
    </xdr:from>
    <xdr:to>
      <xdr:col>19</xdr:col>
      <xdr:colOff>816429</xdr:colOff>
      <xdr:row>143</xdr:row>
      <xdr:rowOff>146957</xdr:rowOff>
    </xdr:to>
    <mc:AlternateContent xmlns:mc="http://schemas.openxmlformats.org/markup-compatibility/2006">
      <mc:Choice xmlns:cx2="http://schemas.microsoft.com/office/drawing/2015/10/21/chartex" Requires="cx2">
        <xdr:graphicFrame macro="">
          <xdr:nvGraphicFramePr>
            <xdr:cNvPr id="14" name="Chart 13">
              <a:extLst>
                <a:ext uri="{FF2B5EF4-FFF2-40B4-BE49-F238E27FC236}">
                  <a16:creationId xmlns:a16="http://schemas.microsoft.com/office/drawing/2014/main" id="{4AD0689A-83D4-2C0C-761C-8DE4A045FF3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12787994" y="27079575"/>
              <a:ext cx="4544785" cy="2690132"/>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14</xdr:col>
      <xdr:colOff>1</xdr:colOff>
      <xdr:row>106</xdr:row>
      <xdr:rowOff>16328</xdr:rowOff>
    </xdr:from>
    <xdr:to>
      <xdr:col>19</xdr:col>
      <xdr:colOff>353786</xdr:colOff>
      <xdr:row>119</xdr:row>
      <xdr:rowOff>106135</xdr:rowOff>
    </xdr:to>
    <xdr:graphicFrame macro="">
      <xdr:nvGraphicFramePr>
        <xdr:cNvPr id="15" name="Chart 14">
          <a:extLst>
            <a:ext uri="{FF2B5EF4-FFF2-40B4-BE49-F238E27FC236}">
              <a16:creationId xmlns:a16="http://schemas.microsoft.com/office/drawing/2014/main" id="{A5F474E7-9940-FD71-426D-FD53362108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571500</xdr:colOff>
      <xdr:row>16</xdr:row>
      <xdr:rowOff>152400</xdr:rowOff>
    </xdr:from>
    <xdr:to>
      <xdr:col>14</xdr:col>
      <xdr:colOff>775608</xdr:colOff>
      <xdr:row>30</xdr:row>
      <xdr:rowOff>38100</xdr:rowOff>
    </xdr:to>
    <xdr:graphicFrame macro="">
      <xdr:nvGraphicFramePr>
        <xdr:cNvPr id="17" name="Chart 16">
          <a:extLst>
            <a:ext uri="{FF2B5EF4-FFF2-40B4-BE49-F238E27FC236}">
              <a16:creationId xmlns:a16="http://schemas.microsoft.com/office/drawing/2014/main" id="{2576B81A-1E5F-7FC9-1A70-7FDE35A27C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2013 - 2022 Theme">
  <a:themeElements>
    <a:clrScheme name="Custom 9">
      <a:dk1>
        <a:srgbClr val="231709"/>
      </a:dk1>
      <a:lt1>
        <a:srgbClr val="F3E3D0"/>
      </a:lt1>
      <a:dk2>
        <a:srgbClr val="AACDDC"/>
      </a:dk2>
      <a:lt2>
        <a:srgbClr val="D2C4B4"/>
      </a:lt2>
      <a:accent1>
        <a:srgbClr val="758A93"/>
      </a:accent1>
      <a:accent2>
        <a:srgbClr val="F1D389"/>
      </a:accent2>
      <a:accent3>
        <a:srgbClr val="FC8E8E"/>
      </a:accent3>
      <a:accent4>
        <a:srgbClr val="FD7979"/>
      </a:accent4>
      <a:accent5>
        <a:srgbClr val="E9B63B"/>
      </a:accent5>
      <a:accent6>
        <a:srgbClr val="758A93"/>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DFD04-591A-4575-877E-BEFA9CB5B645}">
  <sheetPr>
    <pageSetUpPr fitToPage="1"/>
  </sheetPr>
  <dimension ref="M2:AK80"/>
  <sheetViews>
    <sheetView tabSelected="1" zoomScale="30" zoomScaleNormal="30" workbookViewId="0">
      <selection activeCell="AU56" sqref="AU56"/>
    </sheetView>
  </sheetViews>
  <sheetFormatPr defaultColWidth="9.625" defaultRowHeight="15" x14ac:dyDescent="0.25"/>
  <cols>
    <col min="1" max="16384" width="9.625" style="159"/>
  </cols>
  <sheetData>
    <row r="2" spans="13:37" ht="15.75" thickBot="1" x14ac:dyDescent="0.3"/>
    <row r="3" spans="13:37" ht="36.75" thickBot="1" x14ac:dyDescent="0.6">
      <c r="M3" s="168" t="s">
        <v>165</v>
      </c>
      <c r="N3" s="167"/>
      <c r="O3" s="167"/>
      <c r="P3" s="167"/>
      <c r="Q3" s="167"/>
      <c r="R3" s="167"/>
      <c r="S3" s="167"/>
      <c r="T3" s="167"/>
      <c r="U3" s="167"/>
      <c r="V3" s="167"/>
      <c r="W3" s="167"/>
      <c r="X3" s="167"/>
      <c r="Y3" s="167"/>
      <c r="Z3" s="167"/>
      <c r="AA3" s="167"/>
      <c r="AB3" s="167"/>
      <c r="AC3" s="167"/>
      <c r="AD3" s="167"/>
      <c r="AE3" s="167"/>
      <c r="AF3" s="167"/>
      <c r="AG3" s="167"/>
      <c r="AH3" s="167"/>
      <c r="AI3" s="167"/>
      <c r="AJ3" s="167"/>
      <c r="AK3" s="166"/>
    </row>
    <row r="4" spans="13:37" x14ac:dyDescent="0.25">
      <c r="M4" s="201">
        <v>3</v>
      </c>
      <c r="N4" s="202"/>
      <c r="O4" s="203"/>
      <c r="P4" s="202" t="s">
        <v>173</v>
      </c>
      <c r="Q4" s="202"/>
      <c r="R4" s="203"/>
      <c r="S4" s="164"/>
      <c r="T4" s="164"/>
      <c r="U4" s="164"/>
      <c r="V4" s="164"/>
      <c r="W4" s="164"/>
      <c r="X4" s="164"/>
      <c r="Y4" s="164"/>
      <c r="Z4" s="164"/>
      <c r="AA4" s="164"/>
      <c r="AB4" s="164"/>
      <c r="AC4" s="164"/>
      <c r="AD4" s="164"/>
      <c r="AE4" s="164"/>
      <c r="AF4" s="164"/>
      <c r="AG4" s="164"/>
      <c r="AH4" s="164"/>
      <c r="AI4" s="164"/>
      <c r="AJ4" s="164"/>
      <c r="AK4" s="163"/>
    </row>
    <row r="5" spans="13:37" x14ac:dyDescent="0.25">
      <c r="M5" s="204"/>
      <c r="N5" s="205"/>
      <c r="O5" s="206"/>
      <c r="P5" s="205"/>
      <c r="Q5" s="205"/>
      <c r="R5" s="206"/>
      <c r="S5" s="164"/>
      <c r="T5" s="164"/>
      <c r="U5" s="164"/>
      <c r="V5" s="164"/>
      <c r="W5" s="164"/>
      <c r="X5" s="164"/>
      <c r="Y5" s="164"/>
      <c r="Z5" s="164"/>
      <c r="AA5" s="164"/>
      <c r="AB5" s="164"/>
      <c r="AC5" s="164"/>
      <c r="AD5" s="164"/>
      <c r="AE5" s="164"/>
      <c r="AF5" s="164"/>
      <c r="AG5" s="164"/>
      <c r="AH5" s="164"/>
      <c r="AI5" s="164"/>
      <c r="AJ5" s="164"/>
      <c r="AK5" s="163"/>
    </row>
    <row r="6" spans="13:37" x14ac:dyDescent="0.25">
      <c r="M6" s="204"/>
      <c r="N6" s="205"/>
      <c r="O6" s="206"/>
      <c r="P6" s="205"/>
      <c r="Q6" s="205"/>
      <c r="R6" s="206"/>
      <c r="S6" s="164"/>
      <c r="T6" s="164"/>
      <c r="U6" s="164"/>
      <c r="V6" s="164"/>
      <c r="W6" s="164"/>
      <c r="X6" s="164"/>
      <c r="Y6" s="164"/>
      <c r="Z6" s="164"/>
      <c r="AA6" s="164"/>
      <c r="AB6" s="164"/>
      <c r="AC6" s="164"/>
      <c r="AD6" s="164"/>
      <c r="AE6" s="164"/>
      <c r="AF6" s="164"/>
      <c r="AG6" s="164"/>
      <c r="AH6" s="164"/>
      <c r="AI6" s="164"/>
      <c r="AJ6" s="164"/>
      <c r="AK6" s="163"/>
    </row>
    <row r="7" spans="13:37" x14ac:dyDescent="0.25">
      <c r="M7" s="204"/>
      <c r="N7" s="205"/>
      <c r="O7" s="206"/>
      <c r="P7" s="205"/>
      <c r="Q7" s="205"/>
      <c r="R7" s="206"/>
      <c r="S7" s="164"/>
      <c r="T7" s="164"/>
      <c r="U7" s="164"/>
      <c r="V7" s="164"/>
      <c r="W7" s="164"/>
      <c r="X7" s="164"/>
      <c r="Y7" s="164"/>
      <c r="Z7" s="164"/>
      <c r="AA7" s="164"/>
      <c r="AB7" s="164"/>
      <c r="AC7" s="164"/>
      <c r="AD7" s="164"/>
      <c r="AE7" s="164"/>
      <c r="AF7" s="164"/>
      <c r="AG7" s="164"/>
      <c r="AH7" s="164"/>
      <c r="AI7" s="164"/>
      <c r="AJ7" s="164"/>
      <c r="AK7" s="163"/>
    </row>
    <row r="8" spans="13:37" ht="15.75" thickBot="1" x14ac:dyDescent="0.3">
      <c r="M8" s="207"/>
      <c r="N8" s="208"/>
      <c r="O8" s="209"/>
      <c r="P8" s="208"/>
      <c r="Q8" s="208"/>
      <c r="R8" s="209"/>
      <c r="S8" s="164"/>
      <c r="T8" s="164"/>
      <c r="U8" s="164"/>
      <c r="V8" s="164"/>
      <c r="W8" s="164"/>
      <c r="X8" s="164"/>
      <c r="Y8" s="164"/>
      <c r="Z8" s="164"/>
      <c r="AA8" s="164"/>
      <c r="AB8" s="164"/>
      <c r="AC8" s="164"/>
      <c r="AD8" s="164"/>
      <c r="AE8" s="164"/>
      <c r="AF8" s="164"/>
      <c r="AG8" s="164"/>
      <c r="AH8" s="164"/>
      <c r="AI8" s="164"/>
      <c r="AJ8" s="164"/>
      <c r="AK8" s="163"/>
    </row>
    <row r="9" spans="13:37" x14ac:dyDescent="0.25">
      <c r="M9" s="165"/>
      <c r="N9" s="164"/>
      <c r="O9" s="164"/>
      <c r="P9" s="164"/>
      <c r="Q9" s="164"/>
      <c r="R9" s="164"/>
      <c r="S9" s="164"/>
      <c r="T9" s="164"/>
      <c r="U9" s="164"/>
      <c r="V9" s="164"/>
      <c r="W9" s="164"/>
      <c r="X9" s="164"/>
      <c r="Y9" s="164"/>
      <c r="Z9" s="164"/>
      <c r="AA9" s="164"/>
      <c r="AB9" s="164"/>
      <c r="AC9" s="164"/>
      <c r="AD9" s="164"/>
      <c r="AE9" s="164"/>
      <c r="AF9" s="164"/>
      <c r="AG9" s="164"/>
      <c r="AH9" s="164"/>
      <c r="AI9" s="164"/>
      <c r="AJ9" s="164"/>
      <c r="AK9" s="163"/>
    </row>
    <row r="10" spans="13:37" x14ac:dyDescent="0.25">
      <c r="M10" s="165"/>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3"/>
    </row>
    <row r="11" spans="13:37" x14ac:dyDescent="0.25">
      <c r="M11" s="165"/>
      <c r="N11" s="164"/>
      <c r="O11" s="164"/>
      <c r="P11" s="164"/>
      <c r="Q11" s="164"/>
      <c r="R11" s="164"/>
      <c r="S11" s="164"/>
      <c r="T11" s="164"/>
      <c r="U11" s="164"/>
      <c r="V11" s="164"/>
      <c r="W11" s="164"/>
      <c r="X11" s="164"/>
      <c r="Y11" s="164"/>
      <c r="Z11" s="164"/>
      <c r="AA11" s="164"/>
      <c r="AB11" s="164"/>
      <c r="AC11" s="164"/>
      <c r="AD11" s="164"/>
      <c r="AE11" s="164"/>
      <c r="AF11" s="164"/>
      <c r="AG11" s="164"/>
      <c r="AH11" s="164"/>
      <c r="AI11" s="164"/>
      <c r="AJ11" s="164"/>
      <c r="AK11" s="163"/>
    </row>
    <row r="12" spans="13:37" x14ac:dyDescent="0.25">
      <c r="M12" s="165"/>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c r="AK12" s="163"/>
    </row>
    <row r="13" spans="13:37" x14ac:dyDescent="0.25">
      <c r="M13" s="165"/>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c r="AK13" s="163"/>
    </row>
    <row r="14" spans="13:37" x14ac:dyDescent="0.25">
      <c r="M14" s="165"/>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3"/>
    </row>
    <row r="15" spans="13:37" x14ac:dyDescent="0.25">
      <c r="M15" s="165"/>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3"/>
    </row>
    <row r="16" spans="13:37" x14ac:dyDescent="0.25">
      <c r="M16" s="165"/>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163"/>
    </row>
    <row r="17" spans="13:37" x14ac:dyDescent="0.25">
      <c r="M17" s="165"/>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3"/>
    </row>
    <row r="18" spans="13:37" x14ac:dyDescent="0.25">
      <c r="M18" s="165"/>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3"/>
    </row>
    <row r="19" spans="13:37" x14ac:dyDescent="0.25">
      <c r="M19" s="165"/>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c r="AK19" s="163"/>
    </row>
    <row r="20" spans="13:37" x14ac:dyDescent="0.25">
      <c r="M20" s="165"/>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3"/>
    </row>
    <row r="21" spans="13:37" x14ac:dyDescent="0.25">
      <c r="M21" s="165"/>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c r="AK21" s="163"/>
    </row>
    <row r="22" spans="13:37" x14ac:dyDescent="0.25">
      <c r="M22" s="165"/>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3"/>
    </row>
    <row r="23" spans="13:37" x14ac:dyDescent="0.25">
      <c r="M23" s="165"/>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3"/>
    </row>
    <row r="24" spans="13:37" x14ac:dyDescent="0.25">
      <c r="M24" s="165"/>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3"/>
    </row>
    <row r="25" spans="13:37" x14ac:dyDescent="0.25">
      <c r="M25" s="165"/>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3"/>
    </row>
    <row r="26" spans="13:37" x14ac:dyDescent="0.25">
      <c r="M26" s="165"/>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3"/>
    </row>
    <row r="27" spans="13:37" x14ac:dyDescent="0.25">
      <c r="M27" s="165"/>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3"/>
    </row>
    <row r="28" spans="13:37" x14ac:dyDescent="0.25">
      <c r="M28" s="165"/>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3"/>
    </row>
    <row r="29" spans="13:37" x14ac:dyDescent="0.25">
      <c r="M29" s="165"/>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3"/>
    </row>
    <row r="30" spans="13:37" x14ac:dyDescent="0.25">
      <c r="M30" s="165"/>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3"/>
    </row>
    <row r="31" spans="13:37" x14ac:dyDescent="0.25">
      <c r="M31" s="165"/>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3"/>
    </row>
    <row r="32" spans="13:37" x14ac:dyDescent="0.25">
      <c r="M32" s="165"/>
      <c r="N32" s="164"/>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3"/>
    </row>
    <row r="33" spans="13:37" x14ac:dyDescent="0.25">
      <c r="M33" s="165"/>
      <c r="N33" s="164"/>
      <c r="O33" s="164"/>
      <c r="P33" s="164"/>
      <c r="Q33" s="164"/>
      <c r="R33" s="164"/>
      <c r="S33" s="164"/>
      <c r="T33" s="164"/>
      <c r="U33" s="164"/>
      <c r="V33" s="164"/>
      <c r="W33" s="164"/>
      <c r="X33" s="164"/>
      <c r="Y33" s="164"/>
      <c r="Z33" s="164"/>
      <c r="AA33" s="164"/>
      <c r="AB33" s="164"/>
      <c r="AC33" s="164"/>
      <c r="AD33" s="164"/>
      <c r="AE33" s="164"/>
      <c r="AF33" s="164"/>
      <c r="AG33" s="164"/>
      <c r="AH33" s="164"/>
      <c r="AI33" s="164"/>
      <c r="AJ33" s="164"/>
      <c r="AK33" s="163"/>
    </row>
    <row r="34" spans="13:37" x14ac:dyDescent="0.25">
      <c r="M34" s="165"/>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3"/>
    </row>
    <row r="35" spans="13:37" x14ac:dyDescent="0.25">
      <c r="M35" s="165"/>
      <c r="N35" s="164"/>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3"/>
    </row>
    <row r="36" spans="13:37" x14ac:dyDescent="0.25">
      <c r="M36" s="165"/>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3"/>
    </row>
    <row r="37" spans="13:37" x14ac:dyDescent="0.25">
      <c r="M37" s="165"/>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3"/>
    </row>
    <row r="38" spans="13:37" x14ac:dyDescent="0.25">
      <c r="M38" s="165"/>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3"/>
    </row>
    <row r="39" spans="13:37" x14ac:dyDescent="0.25">
      <c r="M39" s="165"/>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3"/>
    </row>
    <row r="40" spans="13:37" x14ac:dyDescent="0.25">
      <c r="M40" s="165"/>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3"/>
    </row>
    <row r="41" spans="13:37" x14ac:dyDescent="0.25">
      <c r="M41" s="165"/>
      <c r="N41" s="164"/>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3"/>
    </row>
    <row r="42" spans="13:37" x14ac:dyDescent="0.25">
      <c r="M42" s="165"/>
      <c r="N42" s="164"/>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3"/>
    </row>
    <row r="43" spans="13:37" x14ac:dyDescent="0.25">
      <c r="M43" s="165"/>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3"/>
    </row>
    <row r="44" spans="13:37" x14ac:dyDescent="0.25">
      <c r="M44" s="165"/>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3"/>
    </row>
    <row r="45" spans="13:37" x14ac:dyDescent="0.25">
      <c r="M45" s="165"/>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3"/>
    </row>
    <row r="46" spans="13:37" x14ac:dyDescent="0.25">
      <c r="M46" s="165"/>
      <c r="N46" s="164"/>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3"/>
    </row>
    <row r="47" spans="13:37" x14ac:dyDescent="0.25">
      <c r="M47" s="165"/>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3"/>
    </row>
    <row r="48" spans="13:37" x14ac:dyDescent="0.25">
      <c r="M48" s="165"/>
      <c r="N48" s="164"/>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3"/>
    </row>
    <row r="49" spans="13:37" x14ac:dyDescent="0.25">
      <c r="M49" s="165"/>
      <c r="N49" s="164"/>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3"/>
    </row>
    <row r="50" spans="13:37" x14ac:dyDescent="0.25">
      <c r="M50" s="165"/>
      <c r="N50" s="164"/>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3"/>
    </row>
    <row r="51" spans="13:37" x14ac:dyDescent="0.25">
      <c r="M51" s="165"/>
      <c r="N51" s="164"/>
      <c r="O51" s="164"/>
      <c r="P51" s="164"/>
      <c r="Q51" s="164"/>
      <c r="R51" s="164"/>
      <c r="S51" s="164"/>
      <c r="T51" s="164"/>
      <c r="U51" s="164"/>
      <c r="V51" s="164"/>
      <c r="W51" s="164"/>
      <c r="X51" s="164"/>
      <c r="Y51" s="164"/>
      <c r="Z51" s="164"/>
      <c r="AA51" s="164"/>
      <c r="AB51" s="164"/>
      <c r="AC51" s="164"/>
      <c r="AD51" s="164"/>
      <c r="AE51" s="164"/>
      <c r="AF51" s="164"/>
      <c r="AG51" s="164"/>
      <c r="AH51" s="164"/>
      <c r="AI51" s="164"/>
      <c r="AJ51" s="164"/>
      <c r="AK51" s="163"/>
    </row>
    <row r="52" spans="13:37" x14ac:dyDescent="0.25">
      <c r="M52" s="165"/>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3"/>
    </row>
    <row r="53" spans="13:37" x14ac:dyDescent="0.25">
      <c r="M53" s="165"/>
      <c r="N53" s="164"/>
      <c r="O53" s="164"/>
      <c r="P53" s="164"/>
      <c r="Q53" s="164"/>
      <c r="R53" s="164"/>
      <c r="S53" s="164"/>
      <c r="T53" s="164"/>
      <c r="U53" s="164"/>
      <c r="V53" s="164"/>
      <c r="W53" s="164"/>
      <c r="X53" s="164"/>
      <c r="Y53" s="164"/>
      <c r="Z53" s="164"/>
      <c r="AA53" s="164"/>
      <c r="AB53" s="164"/>
      <c r="AC53" s="164"/>
      <c r="AD53" s="164"/>
      <c r="AE53" s="164"/>
      <c r="AF53" s="164"/>
      <c r="AG53" s="164"/>
      <c r="AH53" s="164"/>
      <c r="AI53" s="164"/>
      <c r="AJ53" s="164"/>
      <c r="AK53" s="163"/>
    </row>
    <row r="54" spans="13:37" x14ac:dyDescent="0.25">
      <c r="M54" s="165"/>
      <c r="N54" s="164"/>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3"/>
    </row>
    <row r="55" spans="13:37" x14ac:dyDescent="0.25">
      <c r="M55" s="165"/>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3"/>
    </row>
    <row r="56" spans="13:37" x14ac:dyDescent="0.25">
      <c r="M56" s="165"/>
      <c r="N56" s="164"/>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3"/>
    </row>
    <row r="57" spans="13:37" x14ac:dyDescent="0.25">
      <c r="M57" s="165"/>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3"/>
    </row>
    <row r="58" spans="13:37" x14ac:dyDescent="0.25">
      <c r="M58" s="165"/>
      <c r="N58" s="164"/>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3"/>
    </row>
    <row r="59" spans="13:37" x14ac:dyDescent="0.25">
      <c r="M59" s="165"/>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3"/>
    </row>
    <row r="60" spans="13:37" x14ac:dyDescent="0.25">
      <c r="M60" s="165"/>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3"/>
    </row>
    <row r="61" spans="13:37" x14ac:dyDescent="0.25">
      <c r="M61" s="165"/>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3"/>
    </row>
    <row r="62" spans="13:37" x14ac:dyDescent="0.25">
      <c r="M62" s="165"/>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3"/>
    </row>
    <row r="63" spans="13:37" x14ac:dyDescent="0.25">
      <c r="M63" s="165"/>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3"/>
    </row>
    <row r="64" spans="13:37" x14ac:dyDescent="0.25">
      <c r="M64" s="165"/>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3"/>
    </row>
    <row r="65" spans="13:37" x14ac:dyDescent="0.25">
      <c r="M65" s="165"/>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3"/>
    </row>
    <row r="66" spans="13:37" x14ac:dyDescent="0.25">
      <c r="M66" s="165"/>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3"/>
    </row>
    <row r="67" spans="13:37" x14ac:dyDescent="0.25">
      <c r="M67" s="165"/>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3"/>
    </row>
    <row r="68" spans="13:37" x14ac:dyDescent="0.25">
      <c r="M68" s="165"/>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3"/>
    </row>
    <row r="69" spans="13:37" x14ac:dyDescent="0.25">
      <c r="M69" s="165"/>
      <c r="N69" s="164"/>
      <c r="O69" s="164"/>
      <c r="P69" s="164"/>
      <c r="Q69" s="164"/>
      <c r="R69" s="164"/>
      <c r="S69" s="164"/>
      <c r="T69" s="164"/>
      <c r="U69" s="164"/>
      <c r="V69" s="164"/>
      <c r="W69" s="164"/>
      <c r="X69" s="164"/>
      <c r="Y69" s="164"/>
      <c r="Z69" s="164"/>
      <c r="AA69" s="164"/>
      <c r="AB69" s="164"/>
      <c r="AC69" s="164"/>
      <c r="AD69" s="164"/>
      <c r="AE69" s="164"/>
      <c r="AF69" s="164"/>
      <c r="AG69" s="164"/>
      <c r="AH69" s="164"/>
      <c r="AI69" s="164"/>
      <c r="AJ69" s="164"/>
      <c r="AK69" s="163"/>
    </row>
    <row r="70" spans="13:37" x14ac:dyDescent="0.25">
      <c r="M70" s="165"/>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3"/>
    </row>
    <row r="71" spans="13:37" x14ac:dyDescent="0.25">
      <c r="M71" s="165"/>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3"/>
    </row>
    <row r="72" spans="13:37" x14ac:dyDescent="0.25">
      <c r="M72" s="165"/>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3"/>
    </row>
    <row r="73" spans="13:37" x14ac:dyDescent="0.25">
      <c r="M73" s="165"/>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3"/>
    </row>
    <row r="74" spans="13:37" x14ac:dyDescent="0.25">
      <c r="M74" s="165"/>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3"/>
    </row>
    <row r="75" spans="13:37" x14ac:dyDescent="0.25">
      <c r="M75" s="165"/>
      <c r="N75" s="164"/>
      <c r="O75" s="164"/>
      <c r="P75" s="164"/>
      <c r="Q75" s="164"/>
      <c r="R75" s="164"/>
      <c r="S75" s="164"/>
      <c r="T75" s="164"/>
      <c r="U75" s="164"/>
      <c r="V75" s="164"/>
      <c r="W75" s="164"/>
      <c r="X75" s="164"/>
      <c r="Y75" s="164"/>
      <c r="Z75" s="164"/>
      <c r="AA75" s="164"/>
      <c r="AB75" s="164"/>
      <c r="AC75" s="164"/>
      <c r="AD75" s="164"/>
      <c r="AE75" s="164"/>
      <c r="AF75" s="164"/>
      <c r="AG75" s="164"/>
      <c r="AH75" s="164"/>
      <c r="AI75" s="164"/>
      <c r="AJ75" s="164"/>
      <c r="AK75" s="163"/>
    </row>
    <row r="76" spans="13:37" x14ac:dyDescent="0.25">
      <c r="M76" s="165"/>
      <c r="N76" s="164"/>
      <c r="O76" s="164"/>
      <c r="P76" s="164"/>
      <c r="Q76" s="164"/>
      <c r="R76" s="164"/>
      <c r="S76" s="164"/>
      <c r="T76" s="164"/>
      <c r="U76" s="164"/>
      <c r="V76" s="164"/>
      <c r="W76" s="164"/>
      <c r="X76" s="164"/>
      <c r="Y76" s="164"/>
      <c r="Z76" s="164"/>
      <c r="AA76" s="164"/>
      <c r="AB76" s="164"/>
      <c r="AC76" s="164"/>
      <c r="AD76" s="164"/>
      <c r="AE76" s="164"/>
      <c r="AF76" s="164"/>
      <c r="AG76" s="164"/>
      <c r="AH76" s="164"/>
      <c r="AI76" s="164"/>
      <c r="AJ76" s="164"/>
      <c r="AK76" s="163"/>
    </row>
    <row r="77" spans="13:37" x14ac:dyDescent="0.25">
      <c r="M77" s="165"/>
      <c r="N77" s="164"/>
      <c r="O77" s="164"/>
      <c r="P77" s="164"/>
      <c r="Q77" s="164"/>
      <c r="R77" s="164"/>
      <c r="S77" s="164"/>
      <c r="T77" s="164"/>
      <c r="U77" s="164"/>
      <c r="V77" s="164"/>
      <c r="W77" s="164"/>
      <c r="X77" s="164"/>
      <c r="Y77" s="164"/>
      <c r="Z77" s="164"/>
      <c r="AA77" s="164"/>
      <c r="AB77" s="164"/>
      <c r="AC77" s="164"/>
      <c r="AD77" s="164"/>
      <c r="AE77" s="164"/>
      <c r="AF77" s="164"/>
      <c r="AG77" s="164"/>
      <c r="AH77" s="164"/>
      <c r="AI77" s="164"/>
      <c r="AJ77" s="164"/>
      <c r="AK77" s="163"/>
    </row>
    <row r="78" spans="13:37" x14ac:dyDescent="0.25">
      <c r="M78" s="165"/>
      <c r="N78" s="164"/>
      <c r="O78" s="164"/>
      <c r="P78" s="164"/>
      <c r="Q78" s="164"/>
      <c r="R78" s="164"/>
      <c r="S78" s="164"/>
      <c r="T78" s="164"/>
      <c r="U78" s="164"/>
      <c r="V78" s="164"/>
      <c r="W78" s="164"/>
      <c r="X78" s="164"/>
      <c r="Y78" s="164"/>
      <c r="Z78" s="164"/>
      <c r="AA78" s="164"/>
      <c r="AB78" s="164"/>
      <c r="AC78" s="164"/>
      <c r="AD78" s="164"/>
      <c r="AE78" s="164"/>
      <c r="AF78" s="164"/>
      <c r="AG78" s="164"/>
      <c r="AH78" s="164"/>
      <c r="AI78" s="164"/>
      <c r="AJ78" s="164"/>
      <c r="AK78" s="163"/>
    </row>
    <row r="79" spans="13:37" x14ac:dyDescent="0.25">
      <c r="M79" s="165"/>
      <c r="N79" s="164"/>
      <c r="O79" s="164"/>
      <c r="P79" s="164"/>
      <c r="Q79" s="164"/>
      <c r="R79" s="164"/>
      <c r="S79" s="164"/>
      <c r="T79" s="164"/>
      <c r="U79" s="164"/>
      <c r="V79" s="164"/>
      <c r="W79" s="164"/>
      <c r="X79" s="164"/>
      <c r="Y79" s="164"/>
      <c r="Z79" s="164"/>
      <c r="AA79" s="164"/>
      <c r="AB79" s="164"/>
      <c r="AC79" s="164"/>
      <c r="AD79" s="164"/>
      <c r="AE79" s="164"/>
      <c r="AF79" s="164"/>
      <c r="AG79" s="164"/>
      <c r="AH79" s="164"/>
      <c r="AI79" s="164"/>
      <c r="AJ79" s="164"/>
      <c r="AK79" s="163"/>
    </row>
    <row r="80" spans="13:37" ht="15.75" thickBot="1" x14ac:dyDescent="0.3">
      <c r="M80" s="162"/>
      <c r="N80" s="161"/>
      <c r="O80" s="161"/>
      <c r="P80" s="161"/>
      <c r="Q80" s="161"/>
      <c r="R80" s="161"/>
      <c r="S80" s="161"/>
      <c r="T80" s="161"/>
      <c r="U80" s="161"/>
      <c r="V80" s="161"/>
      <c r="W80" s="161"/>
      <c r="X80" s="161"/>
      <c r="Y80" s="161"/>
      <c r="Z80" s="161"/>
      <c r="AA80" s="161"/>
      <c r="AB80" s="161"/>
      <c r="AC80" s="161"/>
      <c r="AD80" s="161"/>
      <c r="AE80" s="161"/>
      <c r="AF80" s="161"/>
      <c r="AG80" s="161"/>
      <c r="AH80" s="161"/>
      <c r="AI80" s="161"/>
      <c r="AJ80" s="161"/>
      <c r="AK80" s="160"/>
    </row>
  </sheetData>
  <mergeCells count="2">
    <mergeCell ref="M4:O8"/>
    <mergeCell ref="P4:R8"/>
  </mergeCells>
  <dataValidations count="1">
    <dataValidation type="list" allowBlank="1" showInputMessage="1" showErrorMessage="1" sqref="M4" xr:uid="{04DE8BB5-1F80-BC40-86C3-F52345B3FA1E}">
      <formula1>"1,2,3,4"</formula1>
    </dataValidation>
  </dataValidations>
  <pageMargins left="0" right="0" top="0" bottom="0" header="0" footer="0"/>
  <pageSetup scale="3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L2:S53"/>
  <sheetViews>
    <sheetView topLeftCell="A6" zoomScale="140" zoomScaleNormal="140" workbookViewId="0">
      <selection activeCell="U2" sqref="U2"/>
    </sheetView>
  </sheetViews>
  <sheetFormatPr defaultColWidth="9" defaultRowHeight="15.75" x14ac:dyDescent="0.25"/>
  <cols>
    <col min="1" max="12" width="9" style="155"/>
    <col min="13" max="13" width="14.125" style="155" customWidth="1"/>
    <col min="14" max="16384" width="9" style="155"/>
  </cols>
  <sheetData>
    <row r="2" spans="12:19" ht="27" thickBot="1" x14ac:dyDescent="0.45">
      <c r="L2" s="218" t="s">
        <v>164</v>
      </c>
      <c r="M2" s="219"/>
      <c r="N2" s="219"/>
      <c r="O2" s="219"/>
      <c r="P2" s="219"/>
      <c r="Q2" s="219"/>
      <c r="R2" s="219"/>
      <c r="S2" s="219"/>
    </row>
    <row r="3" spans="12:19" x14ac:dyDescent="0.25">
      <c r="L3" s="216" t="s">
        <v>33</v>
      </c>
      <c r="M3" s="217"/>
      <c r="N3" s="177" t="str">
        <f>"FY "&amp;$G$22+1&amp;"E"</f>
        <v>FY 1E</v>
      </c>
      <c r="O3" s="177" t="str">
        <f>"FY "&amp;$G$22+2&amp;"E"</f>
        <v>FY 2E</v>
      </c>
      <c r="P3" s="177" t="str">
        <f>"FY "&amp;$G$22+3&amp;"E"</f>
        <v>FY 3E</v>
      </c>
      <c r="Q3" s="177" t="str">
        <f>"FY "&amp;$G$22+4&amp;"E"</f>
        <v>FY 4E</v>
      </c>
      <c r="R3" s="177" t="str">
        <f>"FY "&amp;$G$22+5&amp;"E"</f>
        <v>FY 5E</v>
      </c>
      <c r="S3" s="178" t="str">
        <f>"FY "&amp;$H$22+5&amp;"E"</f>
        <v>FY 5E</v>
      </c>
    </row>
    <row r="4" spans="12:19" x14ac:dyDescent="0.25">
      <c r="L4" s="45" t="s">
        <v>35</v>
      </c>
      <c r="M4" s="46"/>
      <c r="N4" s="47">
        <v>0.1</v>
      </c>
      <c r="O4" s="47">
        <v>0.11</v>
      </c>
      <c r="P4" s="47">
        <v>0.12</v>
      </c>
      <c r="Q4" s="47">
        <v>0.1</v>
      </c>
      <c r="R4" s="47">
        <v>0.13</v>
      </c>
      <c r="S4" s="48">
        <v>0.127</v>
      </c>
    </row>
    <row r="5" spans="12:19" x14ac:dyDescent="0.25">
      <c r="L5" s="45" t="s">
        <v>37</v>
      </c>
      <c r="M5" s="46"/>
      <c r="N5" s="47">
        <v>0.505</v>
      </c>
      <c r="O5" s="47">
        <v>0.51250000000000007</v>
      </c>
      <c r="P5" s="47">
        <v>0.52</v>
      </c>
      <c r="Q5" s="47">
        <v>0.52750000000000008</v>
      </c>
      <c r="R5" s="47">
        <v>0.53500000000000003</v>
      </c>
      <c r="S5" s="48">
        <v>0.54249999999999998</v>
      </c>
    </row>
    <row r="6" spans="12:19" x14ac:dyDescent="0.25">
      <c r="L6" s="45" t="s">
        <v>39</v>
      </c>
      <c r="M6" s="46"/>
      <c r="N6" s="47">
        <v>0.02</v>
      </c>
      <c r="O6" s="47">
        <v>1.9310077519379847E-2</v>
      </c>
      <c r="P6" s="47">
        <v>1.9099999999999999E-2</v>
      </c>
      <c r="Q6" s="47">
        <v>1.9E-2</v>
      </c>
      <c r="R6" s="47">
        <v>1.89E-2</v>
      </c>
      <c r="S6" s="48">
        <v>1.8508992248062E-2</v>
      </c>
    </row>
    <row r="7" spans="12:19" ht="16.5" thickBot="1" x14ac:dyDescent="0.3">
      <c r="L7" s="49" t="s">
        <v>40</v>
      </c>
      <c r="M7" s="50"/>
      <c r="N7" s="51">
        <v>0.08</v>
      </c>
      <c r="O7" s="51">
        <v>8.2500000000000004E-2</v>
      </c>
      <c r="P7" s="51">
        <v>8.3000000000000004E-2</v>
      </c>
      <c r="Q7" s="51">
        <v>8.3500000000000005E-2</v>
      </c>
      <c r="R7" s="51">
        <v>8.4000000000000005E-2</v>
      </c>
      <c r="S7" s="52">
        <v>8.5096201550387607E-2</v>
      </c>
    </row>
    <row r="8" spans="12:19" ht="16.5" thickBot="1" x14ac:dyDescent="0.3">
      <c r="L8" s="157"/>
      <c r="M8" s="6"/>
      <c r="N8" s="6"/>
      <c r="O8" s="6"/>
      <c r="P8" s="6"/>
      <c r="Q8" s="6"/>
      <c r="R8" s="158"/>
      <c r="S8" s="6"/>
    </row>
    <row r="9" spans="12:19" x14ac:dyDescent="0.25">
      <c r="L9" s="216" t="s">
        <v>43</v>
      </c>
      <c r="M9" s="217"/>
      <c r="N9" s="177" t="str">
        <f>"FY "&amp;$G$22+1&amp;"E"</f>
        <v>FY 1E</v>
      </c>
      <c r="O9" s="177" t="str">
        <f>"FY "&amp;$G$22+2&amp;"E"</f>
        <v>FY 2E</v>
      </c>
      <c r="P9" s="177" t="str">
        <f>"FY "&amp;$G$22+3&amp;"E"</f>
        <v>FY 3E</v>
      </c>
      <c r="Q9" s="177" t="str">
        <f>"FY "&amp;$G$22+4&amp;"E"</f>
        <v>FY 4E</v>
      </c>
      <c r="R9" s="177" t="str">
        <f>"FY "&amp;$G$22+5&amp;"E"</f>
        <v>FY 5E</v>
      </c>
      <c r="S9" s="178" t="str">
        <f>"FY "&amp;$H$22+5&amp;"E"</f>
        <v>FY 5E</v>
      </c>
    </row>
    <row r="10" spans="12:19" x14ac:dyDescent="0.25">
      <c r="L10" s="45" t="s">
        <v>35</v>
      </c>
      <c r="M10" s="46"/>
      <c r="N10" s="47">
        <v>0.15</v>
      </c>
      <c r="O10" s="47">
        <v>0.16</v>
      </c>
      <c r="P10" s="47">
        <v>0.17</v>
      </c>
      <c r="Q10" s="47">
        <v>0.15</v>
      </c>
      <c r="R10" s="47">
        <v>0.17</v>
      </c>
      <c r="S10" s="48">
        <v>0.16900000000000001</v>
      </c>
    </row>
    <row r="11" spans="12:19" x14ac:dyDescent="0.25">
      <c r="L11" s="45" t="s">
        <v>37</v>
      </c>
      <c r="M11" s="46"/>
      <c r="N11" s="47">
        <v>0.48</v>
      </c>
      <c r="O11" s="47">
        <v>0.48499999999999999</v>
      </c>
      <c r="P11" s="47">
        <v>0.47499999999999998</v>
      </c>
      <c r="Q11" s="47">
        <v>0.47</v>
      </c>
      <c r="R11" s="47">
        <v>0.46500000000000002</v>
      </c>
      <c r="S11" s="48">
        <v>0.46150000000000002</v>
      </c>
    </row>
    <row r="12" spans="12:19" x14ac:dyDescent="0.25">
      <c r="L12" s="45" t="s">
        <v>39</v>
      </c>
      <c r="M12" s="46"/>
      <c r="N12" s="47">
        <v>1.7500000000000002E-2</v>
      </c>
      <c r="O12" s="47">
        <v>1.7600000000000001E-2</v>
      </c>
      <c r="P12" s="47">
        <v>1.72E-2</v>
      </c>
      <c r="Q12" s="47">
        <v>1.7299999999999999E-2</v>
      </c>
      <c r="R12" s="47">
        <v>1.7100000000000001E-2</v>
      </c>
      <c r="S12" s="48">
        <v>1.7010000000000001E-2</v>
      </c>
    </row>
    <row r="13" spans="12:19" ht="16.5" thickBot="1" x14ac:dyDescent="0.3">
      <c r="L13" s="49" t="s">
        <v>40</v>
      </c>
      <c r="M13" s="50"/>
      <c r="N13" s="51">
        <v>7.0000000000000007E-2</v>
      </c>
      <c r="O13" s="51">
        <v>7.0999999999999994E-2</v>
      </c>
      <c r="P13" s="51">
        <v>7.1499999999999994E-2</v>
      </c>
      <c r="Q13" s="51">
        <v>7.1999999999999995E-2</v>
      </c>
      <c r="R13" s="51">
        <v>7.2499999999999995E-2</v>
      </c>
      <c r="S13" s="52">
        <v>7.3200000000000001E-2</v>
      </c>
    </row>
    <row r="14" spans="12:19" ht="16.5" thickBot="1" x14ac:dyDescent="0.3">
      <c r="L14" s="71"/>
      <c r="M14"/>
      <c r="N14"/>
      <c r="O14"/>
      <c r="P14"/>
      <c r="Q14"/>
      <c r="R14" s="72"/>
      <c r="S14"/>
    </row>
    <row r="15" spans="12:19" x14ac:dyDescent="0.25">
      <c r="L15" s="216" t="s">
        <v>46</v>
      </c>
      <c r="M15" s="217"/>
      <c r="N15" s="177" t="str">
        <f>"FY "&amp;$G$22+1&amp;"E"</f>
        <v>FY 1E</v>
      </c>
      <c r="O15" s="177" t="str">
        <f>"FY "&amp;$G$22+2&amp;"E"</f>
        <v>FY 2E</v>
      </c>
      <c r="P15" s="177" t="str">
        <f>"FY "&amp;$G$22+3&amp;"E"</f>
        <v>FY 3E</v>
      </c>
      <c r="Q15" s="177" t="str">
        <f>"FY "&amp;$G$22+4&amp;"E"</f>
        <v>FY 4E</v>
      </c>
      <c r="R15" s="177" t="str">
        <f>"FY "&amp;$G$22+5&amp;"E"</f>
        <v>FY 5E</v>
      </c>
      <c r="S15" s="178" t="str">
        <f>"FY "&amp;$H$22+5&amp;"E"</f>
        <v>FY 5E</v>
      </c>
    </row>
    <row r="16" spans="12:19" x14ac:dyDescent="0.25">
      <c r="L16" s="45" t="s">
        <v>35</v>
      </c>
      <c r="M16" s="46"/>
      <c r="N16" s="47">
        <v>0.2</v>
      </c>
      <c r="O16" s="47">
        <v>0.21</v>
      </c>
      <c r="P16" s="47">
        <v>0.22</v>
      </c>
      <c r="Q16" s="47">
        <v>0.2</v>
      </c>
      <c r="R16" s="47">
        <v>0.22</v>
      </c>
      <c r="S16" s="48">
        <v>0.219</v>
      </c>
    </row>
    <row r="17" spans="12:19" x14ac:dyDescent="0.25">
      <c r="L17" s="45" t="s">
        <v>37</v>
      </c>
      <c r="M17" s="46"/>
      <c r="N17" s="47">
        <v>0.46</v>
      </c>
      <c r="O17" s="47">
        <v>0.45500000000000002</v>
      </c>
      <c r="P17" s="47">
        <v>0.45200000000000001</v>
      </c>
      <c r="Q17" s="47">
        <v>0.45</v>
      </c>
      <c r="R17" s="47">
        <v>0.44500000000000001</v>
      </c>
      <c r="S17" s="48">
        <v>0.44190000000000002</v>
      </c>
    </row>
    <row r="18" spans="12:19" x14ac:dyDescent="0.25">
      <c r="L18" s="45" t="s">
        <v>39</v>
      </c>
      <c r="M18" s="46"/>
      <c r="N18" s="47">
        <v>1.4999999999999999E-2</v>
      </c>
      <c r="O18" s="47">
        <v>1.4999999999999999E-2</v>
      </c>
      <c r="P18" s="47">
        <v>1.2500000000000001E-2</v>
      </c>
      <c r="Q18" s="47">
        <v>1.2500000000000001E-2</v>
      </c>
      <c r="R18" s="47">
        <v>1.2E-2</v>
      </c>
      <c r="S18" s="48">
        <v>1.085E-2</v>
      </c>
    </row>
    <row r="19" spans="12:19" ht="16.5" thickBot="1" x14ac:dyDescent="0.3">
      <c r="L19" s="49" t="s">
        <v>40</v>
      </c>
      <c r="M19" s="50"/>
      <c r="N19" s="51">
        <v>0.06</v>
      </c>
      <c r="O19" s="51">
        <v>6.0999999999999999E-2</v>
      </c>
      <c r="P19" s="51">
        <v>6.1499999999999999E-2</v>
      </c>
      <c r="Q19" s="51">
        <v>6.2E-2</v>
      </c>
      <c r="R19" s="51">
        <v>6.25E-2</v>
      </c>
      <c r="S19" s="52">
        <v>6.3200000000000006E-2</v>
      </c>
    </row>
    <row r="20" spans="12:19" ht="16.5" thickBot="1" x14ac:dyDescent="0.3">
      <c r="L20"/>
      <c r="M20"/>
      <c r="N20"/>
      <c r="O20"/>
      <c r="P20"/>
      <c r="Q20"/>
      <c r="R20"/>
      <c r="S20"/>
    </row>
    <row r="21" spans="12:19" x14ac:dyDescent="0.25">
      <c r="L21" s="216" t="s">
        <v>166</v>
      </c>
      <c r="M21" s="217"/>
      <c r="N21" s="177" t="str">
        <f>"FY "&amp;$G$22+1&amp;"E"</f>
        <v>FY 1E</v>
      </c>
      <c r="O21" s="177" t="str">
        <f>"FY "&amp;$G$22+2&amp;"E"</f>
        <v>FY 2E</v>
      </c>
      <c r="P21" s="177" t="str">
        <f>"FY "&amp;$G$22+3&amp;"E"</f>
        <v>FY 3E</v>
      </c>
      <c r="Q21" s="177" t="str">
        <f>"FY "&amp;$G$22+4&amp;"E"</f>
        <v>FY 4E</v>
      </c>
      <c r="R21" s="177" t="str">
        <f>"FY "&amp;$G$22+5&amp;"E"</f>
        <v>FY 5E</v>
      </c>
      <c r="S21" s="178" t="str">
        <f>"FY "&amp;$H$22+5&amp;"E"</f>
        <v>FY 5E</v>
      </c>
    </row>
    <row r="22" spans="12:19" x14ac:dyDescent="0.25">
      <c r="L22" s="45" t="s">
        <v>35</v>
      </c>
      <c r="M22" s="46"/>
      <c r="N22" s="47">
        <v>0.25</v>
      </c>
      <c r="O22" s="47">
        <v>0.26250000000000001</v>
      </c>
      <c r="P22" s="47">
        <v>0.27500000000000002</v>
      </c>
      <c r="Q22" s="47">
        <v>0.25</v>
      </c>
      <c r="R22" s="47">
        <v>0.27500000000000002</v>
      </c>
      <c r="S22" s="48">
        <v>0.27374999999999999</v>
      </c>
    </row>
    <row r="23" spans="12:19" x14ac:dyDescent="0.25">
      <c r="L23" s="45" t="s">
        <v>37</v>
      </c>
      <c r="M23" s="46"/>
      <c r="N23" s="47">
        <v>0.57500000000000007</v>
      </c>
      <c r="O23" s="47">
        <v>0.56874999999999998</v>
      </c>
      <c r="P23" s="47">
        <v>0.56500000000000006</v>
      </c>
      <c r="Q23" s="47">
        <v>0.5625</v>
      </c>
      <c r="R23" s="47">
        <v>0.55625000000000002</v>
      </c>
      <c r="S23" s="48">
        <v>0.55237500000000006</v>
      </c>
    </row>
    <row r="24" spans="12:19" x14ac:dyDescent="0.25">
      <c r="L24" s="45" t="s">
        <v>39</v>
      </c>
      <c r="M24" s="46"/>
      <c r="N24" s="47">
        <v>1.2749999999999999E-2</v>
      </c>
      <c r="O24" s="47">
        <v>1.2749999999999999E-2</v>
      </c>
      <c r="P24" s="47">
        <v>1.0625000000000001E-2</v>
      </c>
      <c r="Q24" s="47">
        <v>1.0625000000000001E-2</v>
      </c>
      <c r="R24" s="47">
        <v>1.0200000000000001E-2</v>
      </c>
      <c r="S24" s="48">
        <v>9.2224999999999998E-3</v>
      </c>
    </row>
    <row r="25" spans="12:19" ht="16.5" thickBot="1" x14ac:dyDescent="0.3">
      <c r="L25" s="49" t="s">
        <v>40</v>
      </c>
      <c r="M25" s="50"/>
      <c r="N25" s="51">
        <v>5.0999999999999997E-2</v>
      </c>
      <c r="O25" s="51">
        <v>5.185E-2</v>
      </c>
      <c r="P25" s="51">
        <v>5.2274999999999995E-2</v>
      </c>
      <c r="Q25" s="51">
        <v>5.2699999999999997E-2</v>
      </c>
      <c r="R25" s="51">
        <v>5.3124999999999999E-2</v>
      </c>
      <c r="S25" s="52">
        <v>5.3720000000000004E-2</v>
      </c>
    </row>
    <row r="26" spans="12:19" ht="16.5" thickBot="1" x14ac:dyDescent="0.3">
      <c r="L26"/>
      <c r="M26"/>
      <c r="N26"/>
      <c r="O26"/>
      <c r="P26"/>
      <c r="Q26"/>
      <c r="R26"/>
      <c r="S26"/>
    </row>
    <row r="27" spans="12:19" x14ac:dyDescent="0.25">
      <c r="L27" s="214" t="s">
        <v>33</v>
      </c>
      <c r="M27" s="215"/>
      <c r="N27" s="177" t="str">
        <f>"FY "&amp;$G$22+1&amp;"E"</f>
        <v>FY 1E</v>
      </c>
      <c r="O27" s="177" t="str">
        <f>"FY "&amp;$G$22+2&amp;"E"</f>
        <v>FY 2E</v>
      </c>
      <c r="P27" s="177" t="str">
        <f>"FY "&amp;$G$22+3&amp;"E"</f>
        <v>FY 3E</v>
      </c>
      <c r="Q27" s="177" t="str">
        <f>"FY "&amp;$G$22+4&amp;"E"</f>
        <v>FY 4E</v>
      </c>
      <c r="R27" s="177" t="str">
        <f>"FY "&amp;$G$22+5&amp;"E"</f>
        <v>FY 5E</v>
      </c>
      <c r="S27" s="178" t="str">
        <f>"FY "&amp;$H$22+5&amp;"E"</f>
        <v>FY 5E</v>
      </c>
    </row>
    <row r="28" spans="12:19" x14ac:dyDescent="0.25">
      <c r="L28" s="210" t="s">
        <v>55</v>
      </c>
      <c r="M28" s="211"/>
      <c r="N28" s="182">
        <v>1.6511627906976745E-2</v>
      </c>
      <c r="O28" s="182">
        <v>1.7511627906976746E-2</v>
      </c>
      <c r="P28" s="182">
        <v>1.8511627906976746E-2</v>
      </c>
      <c r="Q28" s="182">
        <v>1.9511627906976747E-2</v>
      </c>
      <c r="R28" s="182">
        <v>2.0511627906976748E-2</v>
      </c>
      <c r="S28" s="182">
        <v>2.1511627906976749E-2</v>
      </c>
    </row>
    <row r="29" spans="12:19" x14ac:dyDescent="0.25">
      <c r="L29" s="210" t="s">
        <v>56</v>
      </c>
      <c r="M29" s="211"/>
      <c r="N29" s="182">
        <v>1.7069767441860464E-2</v>
      </c>
      <c r="O29" s="182">
        <v>1.8069767441860465E-2</v>
      </c>
      <c r="P29" s="182">
        <v>1.9069767441860466E-2</v>
      </c>
      <c r="Q29" s="182">
        <v>2.0069767441860467E-2</v>
      </c>
      <c r="R29" s="182">
        <v>2.1069767441860468E-2</v>
      </c>
      <c r="S29" s="182">
        <v>2.2069767441860469E-2</v>
      </c>
    </row>
    <row r="30" spans="12:19" x14ac:dyDescent="0.25">
      <c r="L30" s="210" t="s">
        <v>57</v>
      </c>
      <c r="M30" s="211"/>
      <c r="N30" s="183">
        <v>0.01</v>
      </c>
      <c r="O30" s="182">
        <v>1.0999999999999999E-2</v>
      </c>
      <c r="P30" s="182">
        <v>1.2E-2</v>
      </c>
      <c r="Q30" s="182">
        <v>1.3000000000000001E-2</v>
      </c>
      <c r="R30" s="182">
        <v>1.4000000000000002E-2</v>
      </c>
      <c r="S30" s="182">
        <v>1.5000000000000003E-2</v>
      </c>
    </row>
    <row r="31" spans="12:19" x14ac:dyDescent="0.25">
      <c r="L31" s="210" t="s">
        <v>58</v>
      </c>
      <c r="M31" s="211"/>
      <c r="N31" s="183">
        <v>0.06</v>
      </c>
      <c r="O31" s="182">
        <v>6.0999999999999999E-2</v>
      </c>
      <c r="P31" s="182">
        <v>6.2E-2</v>
      </c>
      <c r="Q31" s="182">
        <v>6.3E-2</v>
      </c>
      <c r="R31" s="182">
        <v>6.4000000000000001E-2</v>
      </c>
      <c r="S31" s="182">
        <v>6.5000000000000002E-2</v>
      </c>
    </row>
    <row r="32" spans="12:19" ht="16.5" thickBot="1" x14ac:dyDescent="0.3">
      <c r="L32" s="212" t="s">
        <v>59</v>
      </c>
      <c r="M32" s="213"/>
      <c r="N32" s="184">
        <v>0.2</v>
      </c>
      <c r="O32" s="182">
        <v>0.20100000000000001</v>
      </c>
      <c r="P32" s="182">
        <v>0.20200000000000001</v>
      </c>
      <c r="Q32" s="182">
        <v>0.20300000000000001</v>
      </c>
      <c r="R32" s="182">
        <v>0.20400000000000001</v>
      </c>
      <c r="S32" s="182">
        <v>0.20500000000000002</v>
      </c>
    </row>
    <row r="33" spans="12:19" ht="16.5" thickBot="1" x14ac:dyDescent="0.3">
      <c r="L33"/>
      <c r="M33"/>
      <c r="N33" s="185"/>
      <c r="O33" s="185"/>
      <c r="P33" s="185"/>
      <c r="Q33" s="185"/>
      <c r="R33" s="185"/>
      <c r="S33" s="185"/>
    </row>
    <row r="34" spans="12:19" x14ac:dyDescent="0.25">
      <c r="L34" s="214" t="s">
        <v>43</v>
      </c>
      <c r="M34" s="215"/>
      <c r="N34" s="186" t="s">
        <v>167</v>
      </c>
      <c r="O34" s="186" t="s">
        <v>168</v>
      </c>
      <c r="P34" s="186" t="s">
        <v>169</v>
      </c>
      <c r="Q34" s="186" t="s">
        <v>170</v>
      </c>
      <c r="R34" s="186" t="s">
        <v>171</v>
      </c>
      <c r="S34" s="187" t="s">
        <v>172</v>
      </c>
    </row>
    <row r="35" spans="12:19" x14ac:dyDescent="0.25">
      <c r="L35" s="210" t="s">
        <v>55</v>
      </c>
      <c r="M35" s="211"/>
      <c r="N35" s="182">
        <v>0.02</v>
      </c>
      <c r="O35" s="182">
        <v>2.1000000000000001E-2</v>
      </c>
      <c r="P35" s="182">
        <v>2.2000000000000002E-2</v>
      </c>
      <c r="Q35" s="182">
        <v>2.3000000000000003E-2</v>
      </c>
      <c r="R35" s="182">
        <v>2.4000000000000004E-2</v>
      </c>
      <c r="S35" s="182">
        <v>2.5000000000000005E-2</v>
      </c>
    </row>
    <row r="36" spans="12:19" x14ac:dyDescent="0.25">
      <c r="L36" s="210" t="s">
        <v>56</v>
      </c>
      <c r="M36" s="211"/>
      <c r="N36" s="182">
        <v>1.4999999999999999E-2</v>
      </c>
      <c r="O36" s="182">
        <v>1.6E-2</v>
      </c>
      <c r="P36" s="182">
        <v>1.7000000000000001E-2</v>
      </c>
      <c r="Q36" s="182">
        <v>1.8000000000000002E-2</v>
      </c>
      <c r="R36" s="182">
        <v>1.9000000000000003E-2</v>
      </c>
      <c r="S36" s="182">
        <v>2.0000000000000004E-2</v>
      </c>
    </row>
    <row r="37" spans="12:19" x14ac:dyDescent="0.25">
      <c r="L37" s="210" t="s">
        <v>57</v>
      </c>
      <c r="M37" s="211"/>
      <c r="N37" s="183">
        <v>1.2500000000000001E-2</v>
      </c>
      <c r="O37" s="182">
        <v>1.3500000000000002E-2</v>
      </c>
      <c r="P37" s="182">
        <v>1.4500000000000002E-2</v>
      </c>
      <c r="Q37" s="182">
        <v>1.5500000000000003E-2</v>
      </c>
      <c r="R37" s="182">
        <v>1.6500000000000004E-2</v>
      </c>
      <c r="S37" s="182">
        <v>1.7500000000000005E-2</v>
      </c>
    </row>
    <row r="38" spans="12:19" x14ac:dyDescent="0.25">
      <c r="L38" s="210" t="s">
        <v>58</v>
      </c>
      <c r="M38" s="211"/>
      <c r="N38" s="183">
        <v>7.0000000000000007E-2</v>
      </c>
      <c r="O38" s="182">
        <v>7.1000000000000008E-2</v>
      </c>
      <c r="P38" s="182">
        <v>7.2000000000000008E-2</v>
      </c>
      <c r="Q38" s="182">
        <v>7.3000000000000009E-2</v>
      </c>
      <c r="R38" s="182">
        <v>7.400000000000001E-2</v>
      </c>
      <c r="S38" s="182">
        <v>7.5000000000000011E-2</v>
      </c>
    </row>
    <row r="39" spans="12:19" ht="16.5" thickBot="1" x14ac:dyDescent="0.3">
      <c r="L39" s="212" t="s">
        <v>59</v>
      </c>
      <c r="M39" s="213"/>
      <c r="N39" s="184">
        <v>0.22</v>
      </c>
      <c r="O39" s="182">
        <v>0.221</v>
      </c>
      <c r="P39" s="182">
        <v>0.222</v>
      </c>
      <c r="Q39" s="182">
        <v>0.223</v>
      </c>
      <c r="R39" s="182">
        <v>0.224</v>
      </c>
      <c r="S39" s="182">
        <v>0.22500000000000001</v>
      </c>
    </row>
    <row r="40" spans="12:19" ht="16.5" thickBot="1" x14ac:dyDescent="0.3">
      <c r="L40"/>
      <c r="M40"/>
      <c r="N40" s="185"/>
      <c r="O40" s="185"/>
      <c r="P40" s="185"/>
      <c r="Q40" s="185"/>
      <c r="R40" s="185"/>
      <c r="S40" s="185"/>
    </row>
    <row r="41" spans="12:19" x14ac:dyDescent="0.25">
      <c r="L41" s="214" t="s">
        <v>46</v>
      </c>
      <c r="M41" s="215"/>
      <c r="N41" s="186" t="s">
        <v>167</v>
      </c>
      <c r="O41" s="186" t="s">
        <v>168</v>
      </c>
      <c r="P41" s="186" t="s">
        <v>169</v>
      </c>
      <c r="Q41" s="186" t="s">
        <v>170</v>
      </c>
      <c r="R41" s="186" t="s">
        <v>171</v>
      </c>
      <c r="S41" s="187" t="s">
        <v>172</v>
      </c>
    </row>
    <row r="42" spans="12:19" x14ac:dyDescent="0.25">
      <c r="L42" s="210" t="s">
        <v>55</v>
      </c>
      <c r="M42" s="211"/>
      <c r="N42" s="182">
        <v>2.1999999999999999E-2</v>
      </c>
      <c r="O42" s="182">
        <v>2.3E-2</v>
      </c>
      <c r="P42" s="182">
        <v>2.4E-2</v>
      </c>
      <c r="Q42" s="182">
        <v>2.5000000000000001E-2</v>
      </c>
      <c r="R42" s="182">
        <v>2.6000000000000002E-2</v>
      </c>
      <c r="S42" s="182">
        <v>2.7000000000000003E-2</v>
      </c>
    </row>
    <row r="43" spans="12:19" x14ac:dyDescent="0.25">
      <c r="L43" s="210" t="s">
        <v>56</v>
      </c>
      <c r="M43" s="211"/>
      <c r="N43" s="182">
        <v>1.4E-2</v>
      </c>
      <c r="O43" s="182">
        <v>1.4999999999999999E-2</v>
      </c>
      <c r="P43" s="182">
        <v>1.6E-2</v>
      </c>
      <c r="Q43" s="182">
        <v>1.7000000000000001E-2</v>
      </c>
      <c r="R43" s="182">
        <v>1.8000000000000002E-2</v>
      </c>
      <c r="S43" s="182">
        <v>1.9000000000000003E-2</v>
      </c>
    </row>
    <row r="44" spans="12:19" x14ac:dyDescent="0.25">
      <c r="L44" s="210" t="s">
        <v>57</v>
      </c>
      <c r="M44" s="211"/>
      <c r="N44" s="183">
        <v>1.4E-2</v>
      </c>
      <c r="O44" s="182">
        <v>1.4999999999999999E-2</v>
      </c>
      <c r="P44" s="182">
        <v>1.6E-2</v>
      </c>
      <c r="Q44" s="182">
        <v>1.7000000000000001E-2</v>
      </c>
      <c r="R44" s="182">
        <v>1.8000000000000002E-2</v>
      </c>
      <c r="S44" s="182">
        <v>1.9000000000000003E-2</v>
      </c>
    </row>
    <row r="45" spans="12:19" x14ac:dyDescent="0.25">
      <c r="L45" s="210" t="s">
        <v>58</v>
      </c>
      <c r="M45" s="211"/>
      <c r="N45" s="183">
        <v>7.4999999999999997E-2</v>
      </c>
      <c r="O45" s="182">
        <v>7.5999999999999998E-2</v>
      </c>
      <c r="P45" s="182">
        <v>7.6999999999999999E-2</v>
      </c>
      <c r="Q45" s="182">
        <v>7.8E-2</v>
      </c>
      <c r="R45" s="182">
        <v>7.9000000000000001E-2</v>
      </c>
      <c r="S45" s="182">
        <v>0.08</v>
      </c>
    </row>
    <row r="46" spans="12:19" ht="16.5" thickBot="1" x14ac:dyDescent="0.3">
      <c r="L46" s="212" t="s">
        <v>59</v>
      </c>
      <c r="M46" s="213"/>
      <c r="N46" s="184">
        <v>0.24</v>
      </c>
      <c r="O46" s="182">
        <v>0.24099999999999999</v>
      </c>
      <c r="P46" s="182">
        <v>0.24199999999999999</v>
      </c>
      <c r="Q46" s="182">
        <v>0.24299999999999999</v>
      </c>
      <c r="R46" s="182">
        <v>0.24399999999999999</v>
      </c>
      <c r="S46" s="182">
        <v>0.245</v>
      </c>
    </row>
    <row r="47" spans="12:19" ht="16.5" thickBot="1" x14ac:dyDescent="0.3">
      <c r="L47"/>
      <c r="M47"/>
      <c r="N47"/>
      <c r="O47"/>
      <c r="P47"/>
      <c r="Q47"/>
      <c r="R47"/>
      <c r="S47"/>
    </row>
    <row r="48" spans="12:19" x14ac:dyDescent="0.25">
      <c r="L48" s="214" t="s">
        <v>166</v>
      </c>
      <c r="M48" s="215"/>
      <c r="N48" s="177" t="s">
        <v>167</v>
      </c>
      <c r="O48" s="177" t="s">
        <v>168</v>
      </c>
      <c r="P48" s="177" t="s">
        <v>169</v>
      </c>
      <c r="Q48" s="177" t="s">
        <v>170</v>
      </c>
      <c r="R48" s="177" t="s">
        <v>171</v>
      </c>
      <c r="S48" s="178" t="s">
        <v>172</v>
      </c>
    </row>
    <row r="49" spans="12:19" x14ac:dyDescent="0.25">
      <c r="L49" s="210" t="s">
        <v>55</v>
      </c>
      <c r="M49" s="211"/>
      <c r="N49" s="179">
        <v>2.3E-2</v>
      </c>
      <c r="O49" s="179">
        <v>2.4E-2</v>
      </c>
      <c r="P49" s="179">
        <v>2.5000000000000001E-2</v>
      </c>
      <c r="Q49" s="179">
        <v>2.6000000000000002E-2</v>
      </c>
      <c r="R49" s="179">
        <v>2.7000000000000003E-2</v>
      </c>
      <c r="S49" s="179">
        <v>2.8000000000000004E-2</v>
      </c>
    </row>
    <row r="50" spans="12:19" x14ac:dyDescent="0.25">
      <c r="L50" s="210" t="s">
        <v>56</v>
      </c>
      <c r="M50" s="211"/>
      <c r="N50" s="179">
        <v>1.2999999999999999E-2</v>
      </c>
      <c r="O50" s="179">
        <v>1.3999999999999999E-2</v>
      </c>
      <c r="P50" s="179">
        <v>1.4999999999999999E-2</v>
      </c>
      <c r="Q50" s="179">
        <v>1.6E-2</v>
      </c>
      <c r="R50" s="179">
        <v>1.7000000000000001E-2</v>
      </c>
      <c r="S50" s="179">
        <v>1.8000000000000002E-2</v>
      </c>
    </row>
    <row r="51" spans="12:19" x14ac:dyDescent="0.25">
      <c r="L51" s="210" t="s">
        <v>57</v>
      </c>
      <c r="M51" s="211"/>
      <c r="N51" s="180">
        <v>1.4999999999999999E-2</v>
      </c>
      <c r="O51" s="179">
        <v>1.6E-2</v>
      </c>
      <c r="P51" s="179">
        <v>1.7000000000000001E-2</v>
      </c>
      <c r="Q51" s="179">
        <v>1.8000000000000002E-2</v>
      </c>
      <c r="R51" s="179">
        <v>1.9000000000000003E-2</v>
      </c>
      <c r="S51" s="179">
        <v>2.0000000000000004E-2</v>
      </c>
    </row>
    <row r="52" spans="12:19" x14ac:dyDescent="0.25">
      <c r="L52" s="210" t="s">
        <v>58</v>
      </c>
      <c r="M52" s="211"/>
      <c r="N52" s="180">
        <v>0.08</v>
      </c>
      <c r="O52" s="179">
        <v>8.1000000000000003E-2</v>
      </c>
      <c r="P52" s="179">
        <v>8.2000000000000003E-2</v>
      </c>
      <c r="Q52" s="179">
        <v>8.3000000000000004E-2</v>
      </c>
      <c r="R52" s="179">
        <v>8.4000000000000005E-2</v>
      </c>
      <c r="S52" s="179">
        <v>8.5000000000000006E-2</v>
      </c>
    </row>
    <row r="53" spans="12:19" ht="16.5" thickBot="1" x14ac:dyDescent="0.3">
      <c r="L53" s="212" t="s">
        <v>59</v>
      </c>
      <c r="M53" s="213"/>
      <c r="N53" s="181">
        <v>0.25</v>
      </c>
      <c r="O53" s="179">
        <v>0.251</v>
      </c>
      <c r="P53" s="179">
        <v>0.252</v>
      </c>
      <c r="Q53" s="179">
        <v>0.253</v>
      </c>
      <c r="R53" s="179">
        <v>0.254</v>
      </c>
      <c r="S53" s="179">
        <v>0.255</v>
      </c>
    </row>
  </sheetData>
  <mergeCells count="29">
    <mergeCell ref="L21:M21"/>
    <mergeCell ref="L2:S2"/>
    <mergeCell ref="L3:M3"/>
    <mergeCell ref="L9:M9"/>
    <mergeCell ref="L15:M15"/>
    <mergeCell ref="L27:M27"/>
    <mergeCell ref="L28:M28"/>
    <mergeCell ref="L29:M29"/>
    <mergeCell ref="L30:M30"/>
    <mergeCell ref="L31:M31"/>
    <mergeCell ref="L32:M32"/>
    <mergeCell ref="L34:M34"/>
    <mergeCell ref="L35:M35"/>
    <mergeCell ref="L36:M36"/>
    <mergeCell ref="L37:M37"/>
    <mergeCell ref="L38:M38"/>
    <mergeCell ref="L39:M39"/>
    <mergeCell ref="L41:M41"/>
    <mergeCell ref="L42:M42"/>
    <mergeCell ref="L43:M43"/>
    <mergeCell ref="L50:M50"/>
    <mergeCell ref="L51:M51"/>
    <mergeCell ref="L52:M52"/>
    <mergeCell ref="L53:M53"/>
    <mergeCell ref="L44:M44"/>
    <mergeCell ref="L45:M45"/>
    <mergeCell ref="L46:M46"/>
    <mergeCell ref="L48:M48"/>
    <mergeCell ref="L49:M49"/>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X186"/>
  <sheetViews>
    <sheetView zoomScale="70" zoomScaleNormal="70" workbookViewId="0">
      <selection activeCell="E14" sqref="E14:I15"/>
    </sheetView>
  </sheetViews>
  <sheetFormatPr defaultColWidth="11" defaultRowHeight="15.75" x14ac:dyDescent="0.25"/>
  <cols>
    <col min="1" max="2" width="9" customWidth="1"/>
    <col min="3" max="3" width="12.125" customWidth="1"/>
    <col min="4" max="5" width="10.125" bestFit="1" customWidth="1"/>
    <col min="6" max="6" width="16.875" bestFit="1" customWidth="1"/>
    <col min="7" max="7" width="12" bestFit="1" customWidth="1"/>
    <col min="8" max="8" width="13.125" bestFit="1" customWidth="1"/>
    <col min="9" max="9" width="12" bestFit="1" customWidth="1"/>
    <col min="10" max="10" width="11.125" customWidth="1"/>
    <col min="11" max="11" width="12.5" bestFit="1" customWidth="1"/>
    <col min="12" max="12" width="11.125" customWidth="1"/>
    <col min="13" max="13" width="11.625" bestFit="1" customWidth="1"/>
  </cols>
  <sheetData>
    <row r="1" spans="1:24" ht="32.25" thickBot="1" x14ac:dyDescent="0.55000000000000004">
      <c r="A1" s="220" t="s">
        <v>153</v>
      </c>
      <c r="B1" s="221"/>
      <c r="C1" s="221"/>
      <c r="D1" s="221"/>
      <c r="E1" s="221"/>
      <c r="F1" s="221"/>
      <c r="G1" s="221"/>
      <c r="H1" s="221"/>
      <c r="I1" s="221"/>
      <c r="J1" s="221"/>
      <c r="K1" s="221"/>
      <c r="L1" s="222"/>
    </row>
    <row r="2" spans="1:24" x14ac:dyDescent="0.25">
      <c r="A2" s="1"/>
    </row>
    <row r="3" spans="1:24" x14ac:dyDescent="0.25">
      <c r="A3" t="s">
        <v>0</v>
      </c>
    </row>
    <row r="4" spans="1:24" x14ac:dyDescent="0.25">
      <c r="A4" s="2" t="s">
        <v>1</v>
      </c>
      <c r="B4" s="3"/>
      <c r="C4" s="3"/>
      <c r="D4" s="3"/>
      <c r="E4" s="3"/>
      <c r="F4" s="3"/>
      <c r="G4" s="4"/>
      <c r="H4" s="4"/>
      <c r="I4" s="4"/>
      <c r="J4" s="4"/>
      <c r="K4" s="4"/>
      <c r="L4" s="5"/>
      <c r="N4" s="6"/>
      <c r="O4" s="6"/>
      <c r="P4" s="6"/>
      <c r="Q4" s="6"/>
      <c r="R4" s="6"/>
      <c r="S4" s="6"/>
      <c r="T4" s="6"/>
      <c r="U4" s="6"/>
      <c r="V4" s="6"/>
      <c r="W4" s="6"/>
      <c r="X4" s="6"/>
    </row>
    <row r="5" spans="1:24" x14ac:dyDescent="0.25">
      <c r="A5" s="7"/>
      <c r="J5" s="1" t="s">
        <v>2</v>
      </c>
      <c r="L5" s="8">
        <v>360</v>
      </c>
      <c r="N5" s="6"/>
      <c r="O5" s="6"/>
      <c r="P5" s="6"/>
      <c r="Q5" s="6"/>
      <c r="R5" s="6"/>
      <c r="S5" s="6"/>
      <c r="T5" s="6"/>
      <c r="U5" s="6"/>
      <c r="V5" s="6"/>
      <c r="W5" s="6"/>
      <c r="X5" s="6"/>
    </row>
    <row r="6" spans="1:24" x14ac:dyDescent="0.25">
      <c r="A6" s="9" t="s">
        <v>3</v>
      </c>
      <c r="D6" s="10">
        <v>42764</v>
      </c>
      <c r="F6" s="1" t="s">
        <v>4</v>
      </c>
      <c r="H6" s="11">
        <v>2017</v>
      </c>
      <c r="J6" s="1" t="s">
        <v>5</v>
      </c>
      <c r="L6" s="12">
        <v>100000</v>
      </c>
      <c r="N6" s="6"/>
      <c r="O6" s="6"/>
      <c r="P6" s="6"/>
      <c r="Q6" s="6"/>
      <c r="R6" s="6"/>
      <c r="S6" s="6"/>
      <c r="T6" s="6"/>
      <c r="U6" s="6"/>
      <c r="V6" s="6"/>
      <c r="W6" s="6"/>
      <c r="X6" s="6"/>
    </row>
    <row r="7" spans="1:24" x14ac:dyDescent="0.25">
      <c r="A7" s="9" t="s">
        <v>6</v>
      </c>
      <c r="D7" s="11" t="s">
        <v>7</v>
      </c>
      <c r="F7" s="1" t="s">
        <v>8</v>
      </c>
      <c r="H7" s="11">
        <v>2018</v>
      </c>
      <c r="J7" s="1" t="s">
        <v>9</v>
      </c>
      <c r="L7" s="13">
        <v>0.2</v>
      </c>
      <c r="N7" s="6"/>
      <c r="O7" s="6"/>
      <c r="P7" s="6"/>
      <c r="Q7" s="6"/>
      <c r="R7" s="6"/>
      <c r="S7" s="6"/>
      <c r="T7" s="6"/>
      <c r="U7" s="6"/>
      <c r="V7" s="6"/>
      <c r="W7" s="6"/>
      <c r="X7" s="6"/>
    </row>
    <row r="8" spans="1:24" x14ac:dyDescent="0.25">
      <c r="A8" s="9" t="s">
        <v>10</v>
      </c>
      <c r="C8" s="14"/>
      <c r="D8" s="15">
        <v>140</v>
      </c>
      <c r="F8" s="1" t="s">
        <v>11</v>
      </c>
      <c r="H8" s="11">
        <v>1000</v>
      </c>
      <c r="J8" s="1" t="s">
        <v>12</v>
      </c>
      <c r="L8" s="16">
        <v>0.06</v>
      </c>
      <c r="N8" s="6"/>
      <c r="O8" s="6"/>
      <c r="P8" s="6"/>
      <c r="Q8" s="6"/>
      <c r="R8" s="6"/>
      <c r="S8" s="6"/>
      <c r="T8" s="6"/>
      <c r="U8" s="6"/>
      <c r="V8" s="6"/>
      <c r="W8" s="6"/>
      <c r="X8" s="6"/>
    </row>
    <row r="9" spans="1:24" x14ac:dyDescent="0.25">
      <c r="A9" s="7"/>
      <c r="J9" s="1" t="s">
        <v>13</v>
      </c>
      <c r="L9" s="16">
        <v>5.0000000000000001E-3</v>
      </c>
      <c r="N9" s="6"/>
      <c r="O9" s="6"/>
      <c r="P9" s="6"/>
      <c r="Q9" s="6"/>
      <c r="R9" s="6"/>
      <c r="S9" s="6"/>
      <c r="T9" s="6"/>
      <c r="U9" s="6"/>
      <c r="V9" s="6"/>
      <c r="W9" s="6"/>
      <c r="X9" s="6"/>
    </row>
    <row r="10" spans="1:24" x14ac:dyDescent="0.25">
      <c r="A10" s="9" t="s">
        <v>14</v>
      </c>
      <c r="D10" s="17">
        <v>1000000</v>
      </c>
      <c r="F10" s="1" t="s">
        <v>15</v>
      </c>
      <c r="J10" s="1" t="s">
        <v>16</v>
      </c>
      <c r="L10" s="18">
        <f>IF($K$14=1,-15%,IF($K$14=2,10%,IF($K$14=3,20%,0%)))</f>
        <v>0.2</v>
      </c>
      <c r="N10" s="6"/>
      <c r="O10" s="6"/>
      <c r="P10" s="6"/>
      <c r="Q10" s="6"/>
      <c r="R10" s="6"/>
      <c r="S10" s="6"/>
      <c r="T10" s="6"/>
      <c r="U10" s="6"/>
      <c r="V10" s="6"/>
      <c r="W10" s="6"/>
      <c r="X10" s="6"/>
    </row>
    <row r="11" spans="1:24" x14ac:dyDescent="0.25">
      <c r="A11" s="9" t="s">
        <v>17</v>
      </c>
      <c r="D11" s="19">
        <f>D10/Units*Share_Price</f>
        <v>140000</v>
      </c>
      <c r="J11" s="1" t="s">
        <v>18</v>
      </c>
      <c r="L11" s="20">
        <f>+K14</f>
        <v>3</v>
      </c>
      <c r="N11" s="6"/>
      <c r="O11" s="6"/>
      <c r="P11" s="6"/>
      <c r="Q11" s="6"/>
      <c r="R11" s="6"/>
      <c r="S11" s="6"/>
      <c r="T11" s="6"/>
      <c r="U11" s="6"/>
      <c r="V11" s="6"/>
      <c r="W11" s="6"/>
      <c r="X11" s="6"/>
    </row>
    <row r="12" spans="1:24" ht="16.5" thickBot="1" x14ac:dyDescent="0.3">
      <c r="A12" s="9" t="s">
        <v>19</v>
      </c>
      <c r="D12" s="21">
        <f>D10+I19</f>
        <v>1000000</v>
      </c>
      <c r="J12" s="1"/>
      <c r="L12" s="22"/>
      <c r="N12" s="6"/>
      <c r="O12" s="6"/>
      <c r="P12" s="6"/>
      <c r="Q12" s="6"/>
      <c r="R12" s="6"/>
      <c r="S12" s="6"/>
      <c r="T12" s="6"/>
      <c r="U12" s="6"/>
      <c r="V12" s="6"/>
      <c r="W12" s="6"/>
      <c r="X12" s="6"/>
    </row>
    <row r="13" spans="1:24" ht="16.5" thickBot="1" x14ac:dyDescent="0.3">
      <c r="A13" s="9" t="s">
        <v>20</v>
      </c>
      <c r="D13" s="19">
        <f>D12/Units*Share_Price</f>
        <v>140000</v>
      </c>
      <c r="K13" s="23" t="s">
        <v>21</v>
      </c>
      <c r="L13" s="24"/>
      <c r="N13" s="6"/>
      <c r="O13" s="6"/>
      <c r="P13" s="6"/>
      <c r="Q13" s="6"/>
      <c r="R13" s="6"/>
      <c r="S13" s="6"/>
      <c r="T13" s="6"/>
      <c r="U13" s="6"/>
      <c r="V13" s="6"/>
      <c r="W13" s="6"/>
      <c r="X13" s="6"/>
    </row>
    <row r="14" spans="1:24" ht="21.75" thickBot="1" x14ac:dyDescent="0.4">
      <c r="A14" s="25" t="s">
        <v>22</v>
      </c>
      <c r="D14" s="26">
        <f>G107+G108+G116</f>
        <v>35799</v>
      </c>
      <c r="E14" s="192" t="s">
        <v>21</v>
      </c>
      <c r="F14" s="193" t="s">
        <v>33</v>
      </c>
      <c r="G14" s="193" t="s">
        <v>43</v>
      </c>
      <c r="H14" s="193" t="s">
        <v>46</v>
      </c>
      <c r="I14" s="194" t="s">
        <v>174</v>
      </c>
      <c r="K14" s="27">
        <f>'Exe Sum &amp; Dashboard'!M4</f>
        <v>3</v>
      </c>
      <c r="L14" s="24"/>
      <c r="N14" s="6"/>
      <c r="O14" s="6"/>
      <c r="P14" s="6"/>
      <c r="Q14" s="6"/>
      <c r="R14" s="6"/>
      <c r="S14" s="6"/>
      <c r="T14" s="6"/>
      <c r="U14" s="6"/>
      <c r="V14" s="6"/>
      <c r="W14" s="6"/>
      <c r="X14" s="6"/>
    </row>
    <row r="15" spans="1:24" ht="16.5" thickBot="1" x14ac:dyDescent="0.3">
      <c r="A15" s="25" t="s">
        <v>23</v>
      </c>
      <c r="D15" s="26">
        <f>G132</f>
        <v>0</v>
      </c>
      <c r="E15" s="195" t="s">
        <v>25</v>
      </c>
      <c r="F15" s="197">
        <v>52806.217183286877</v>
      </c>
      <c r="G15" s="197">
        <v>79403.834788674867</v>
      </c>
      <c r="H15" s="197">
        <v>104924.46994820912</v>
      </c>
      <c r="I15" s="198">
        <v>99118.051750589657</v>
      </c>
      <c r="L15" s="22"/>
      <c r="N15" s="6"/>
      <c r="O15" s="6"/>
      <c r="P15" s="6"/>
      <c r="Q15" s="6"/>
      <c r="R15" s="6"/>
      <c r="S15" s="6"/>
      <c r="T15" s="6"/>
      <c r="U15" s="6"/>
      <c r="V15" s="6"/>
      <c r="W15" s="6"/>
      <c r="X15" s="6"/>
    </row>
    <row r="16" spans="1:24" ht="16.5" thickBot="1" x14ac:dyDescent="0.3">
      <c r="A16" s="25" t="s">
        <v>24</v>
      </c>
      <c r="D16" s="28">
        <v>0</v>
      </c>
      <c r="E16" s="196" t="s">
        <v>26</v>
      </c>
      <c r="F16" s="199">
        <v>0.21289113293287842</v>
      </c>
      <c r="G16" s="199">
        <v>0.25607507696440135</v>
      </c>
      <c r="H16" s="199">
        <v>0.28966280730884009</v>
      </c>
      <c r="I16" s="200">
        <v>0.27770644588410609</v>
      </c>
      <c r="J16" s="191"/>
      <c r="K16" s="29" t="s">
        <v>25</v>
      </c>
      <c r="L16" s="30" t="s">
        <v>26</v>
      </c>
      <c r="N16" s="6"/>
      <c r="O16" s="6"/>
      <c r="P16" s="6"/>
      <c r="Q16" s="6"/>
      <c r="R16" s="6"/>
      <c r="S16" s="6"/>
      <c r="T16" s="6"/>
      <c r="U16" s="6"/>
      <c r="V16" s="6"/>
      <c r="W16" s="6"/>
      <c r="X16" s="6"/>
    </row>
    <row r="17" spans="1:24" ht="16.5" thickBot="1" x14ac:dyDescent="0.3">
      <c r="A17" s="25" t="s">
        <v>27</v>
      </c>
      <c r="D17" s="28">
        <v>0</v>
      </c>
      <c r="J17" s="31" t="s">
        <v>28</v>
      </c>
      <c r="K17" s="189">
        <f>NPV(L8,E100:M100)+D100</f>
        <v>104924.46994820912</v>
      </c>
      <c r="L17" s="190">
        <f>IRR(D100:M100)</f>
        <v>0.28966280730884009</v>
      </c>
      <c r="N17" s="6"/>
      <c r="O17" s="6"/>
      <c r="P17" s="6"/>
      <c r="Q17" s="6"/>
      <c r="R17" s="6"/>
      <c r="S17" s="6"/>
      <c r="T17" s="6"/>
      <c r="U17" s="6"/>
      <c r="V17" s="6"/>
      <c r="W17" s="6"/>
      <c r="X17" s="6"/>
    </row>
    <row r="18" spans="1:24" x14ac:dyDescent="0.25">
      <c r="A18" s="25" t="s">
        <v>29</v>
      </c>
      <c r="D18" s="28">
        <v>0</v>
      </c>
      <c r="N18" s="6"/>
      <c r="O18" s="6"/>
      <c r="P18" s="6"/>
      <c r="Q18" s="6"/>
      <c r="R18" s="6"/>
      <c r="S18" s="6"/>
      <c r="T18" s="6"/>
      <c r="U18" s="6"/>
      <c r="V18" s="6"/>
      <c r="W18" s="6"/>
      <c r="X18" s="6"/>
    </row>
    <row r="19" spans="1:24" x14ac:dyDescent="0.25">
      <c r="A19" s="9" t="s">
        <v>30</v>
      </c>
      <c r="D19" s="32">
        <f>Equity_Value-D14+D15+D16+D17+D18</f>
        <v>104201</v>
      </c>
      <c r="N19" s="6"/>
      <c r="O19" s="6"/>
      <c r="P19" s="6"/>
      <c r="Q19" s="6"/>
      <c r="R19" s="6"/>
      <c r="S19" s="6"/>
      <c r="T19" s="6"/>
      <c r="U19" s="6"/>
      <c r="V19" s="6"/>
      <c r="W19" s="6"/>
      <c r="X19" s="6"/>
    </row>
    <row r="20" spans="1:24" x14ac:dyDescent="0.25">
      <c r="A20" s="7"/>
      <c r="L20" s="22"/>
      <c r="N20" s="6"/>
      <c r="O20" s="6"/>
      <c r="P20" s="6"/>
      <c r="Q20" s="6"/>
      <c r="R20" s="6"/>
      <c r="S20" s="6"/>
      <c r="T20" s="6"/>
      <c r="U20" s="6"/>
      <c r="V20" s="6"/>
      <c r="W20" s="6"/>
      <c r="X20" s="6"/>
    </row>
    <row r="21" spans="1:24" x14ac:dyDescent="0.25">
      <c r="A21" s="7"/>
      <c r="E21" s="34" t="s">
        <v>31</v>
      </c>
      <c r="F21" s="35"/>
      <c r="G21" s="36"/>
      <c r="H21" s="37" t="s">
        <v>32</v>
      </c>
      <c r="I21" s="37"/>
      <c r="J21" s="37"/>
      <c r="K21" s="37"/>
      <c r="L21" s="38"/>
      <c r="M21" s="38"/>
      <c r="N21" s="6"/>
      <c r="O21" s="6"/>
      <c r="P21" s="6"/>
      <c r="Q21" s="6"/>
      <c r="R21" s="6"/>
      <c r="S21" s="6"/>
      <c r="T21" s="6"/>
      <c r="U21" s="6"/>
      <c r="V21" s="6"/>
      <c r="W21" s="6"/>
      <c r="X21" s="6"/>
    </row>
    <row r="22" spans="1:24" x14ac:dyDescent="0.25">
      <c r="A22" s="7"/>
      <c r="E22" s="39">
        <f>F22-1</f>
        <v>2017</v>
      </c>
      <c r="F22" s="39">
        <f>G22-1</f>
        <v>2018</v>
      </c>
      <c r="G22" s="40">
        <v>2019</v>
      </c>
      <c r="H22" s="39">
        <f t="shared" ref="H22:M22" si="0">G22+1</f>
        <v>2020</v>
      </c>
      <c r="I22" s="39">
        <f t="shared" si="0"/>
        <v>2021</v>
      </c>
      <c r="J22" s="39">
        <f t="shared" si="0"/>
        <v>2022</v>
      </c>
      <c r="K22" s="39">
        <f t="shared" si="0"/>
        <v>2023</v>
      </c>
      <c r="L22" s="40">
        <f t="shared" si="0"/>
        <v>2024</v>
      </c>
      <c r="M22" s="40">
        <f t="shared" si="0"/>
        <v>2025</v>
      </c>
      <c r="N22" s="6"/>
      <c r="O22" s="6"/>
      <c r="P22" s="6"/>
      <c r="Q22" s="6"/>
      <c r="R22" s="6"/>
      <c r="S22" s="6"/>
      <c r="T22" s="6"/>
      <c r="U22" s="6"/>
      <c r="V22" s="6"/>
      <c r="W22" s="6"/>
      <c r="X22" s="6"/>
    </row>
    <row r="23" spans="1:24" ht="16.5" thickBot="1" x14ac:dyDescent="0.3">
      <c r="A23" s="7"/>
      <c r="E23" s="39" t="str">
        <f>"FY "&amp;G22-2</f>
        <v>FY 2017</v>
      </c>
      <c r="F23" s="39" t="str">
        <f>"FY "&amp;G22-1</f>
        <v>FY 2018</v>
      </c>
      <c r="G23" s="40" t="str">
        <f>"FY "&amp;G22</f>
        <v>FY 2019</v>
      </c>
      <c r="H23" s="39" t="str">
        <f>"FY "&amp;$G$22+1&amp;"E"</f>
        <v>FY 2020E</v>
      </c>
      <c r="I23" s="39" t="str">
        <f>"FY "&amp;$G$22+2&amp;"E"</f>
        <v>FY 2021E</v>
      </c>
      <c r="J23" s="39" t="str">
        <f>"FY "&amp;$G$22+3&amp;"E"</f>
        <v>FY 2022E</v>
      </c>
      <c r="K23" s="39" t="str">
        <f>"FY "&amp;$G$22+4&amp;"E"</f>
        <v>FY 2023E</v>
      </c>
      <c r="L23" s="40" t="str">
        <f>"FY "&amp;$G$22+5&amp;"E"</f>
        <v>FY 2024E</v>
      </c>
      <c r="M23" s="40" t="str">
        <f>"FY "&amp;$H$22+5&amp;"E"</f>
        <v>FY 2025E</v>
      </c>
      <c r="N23" s="6"/>
      <c r="O23" s="6"/>
      <c r="P23" s="6"/>
      <c r="Q23" s="6"/>
      <c r="R23" s="6"/>
      <c r="S23" s="6"/>
      <c r="T23" s="6"/>
      <c r="U23" s="6"/>
      <c r="V23" s="6"/>
      <c r="W23" s="6"/>
      <c r="X23" s="6"/>
    </row>
    <row r="24" spans="1:24" x14ac:dyDescent="0.25">
      <c r="A24" s="7"/>
      <c r="E24" s="41"/>
      <c r="F24" s="41"/>
      <c r="G24" s="41"/>
      <c r="H24" s="41"/>
      <c r="I24" s="41"/>
      <c r="J24" s="41"/>
      <c r="K24" s="41"/>
      <c r="L24" s="42"/>
      <c r="M24" s="42"/>
      <c r="N24" s="6"/>
      <c r="O24" s="216" t="s">
        <v>33</v>
      </c>
      <c r="P24" s="217"/>
      <c r="Q24" s="177" t="str">
        <f>"FY "&amp;$G$22+1&amp;"E"</f>
        <v>FY 2020E</v>
      </c>
      <c r="R24" s="177" t="str">
        <f>"FY "&amp;$G$22+2&amp;"E"</f>
        <v>FY 2021E</v>
      </c>
      <c r="S24" s="177" t="str">
        <f>"FY "&amp;$G$22+3&amp;"E"</f>
        <v>FY 2022E</v>
      </c>
      <c r="T24" s="177" t="str">
        <f>"FY "&amp;$G$22+4&amp;"E"</f>
        <v>FY 2023E</v>
      </c>
      <c r="U24" s="177" t="str">
        <f>"FY "&amp;$G$22+5&amp;"E"</f>
        <v>FY 2024E</v>
      </c>
      <c r="V24" s="178" t="str">
        <f>"FY "&amp;$H$22+5&amp;"E"</f>
        <v>FY 2025E</v>
      </c>
      <c r="W24" s="6"/>
      <c r="X24" s="6"/>
    </row>
    <row r="25" spans="1:24" x14ac:dyDescent="0.25">
      <c r="A25" s="9" t="s">
        <v>34</v>
      </c>
      <c r="E25" s="43">
        <f t="shared" ref="E25:L25" si="1">Enterprise_Value/E74</f>
        <v>4.1847791164658634</v>
      </c>
      <c r="F25" s="43">
        <f t="shared" si="1"/>
        <v>2.7566402116402116</v>
      </c>
      <c r="G25" s="43">
        <f t="shared" si="1"/>
        <v>2.423279069767442</v>
      </c>
      <c r="H25" s="43">
        <f t="shared" si="1"/>
        <v>2.0193992248062016</v>
      </c>
      <c r="I25" s="43">
        <f t="shared" si="1"/>
        <v>1.6689249791786789</v>
      </c>
      <c r="J25" s="43">
        <f t="shared" si="1"/>
        <v>1.3679712944087532</v>
      </c>
      <c r="K25" s="43">
        <f t="shared" si="1"/>
        <v>1.1399760786739612</v>
      </c>
      <c r="L25" s="44">
        <f t="shared" si="1"/>
        <v>0.93440662186390266</v>
      </c>
      <c r="M25" s="44">
        <f t="shared" ref="M25" si="2">Enterprise_Value/M74</f>
        <v>0.76653537478581013</v>
      </c>
      <c r="N25" s="6"/>
      <c r="O25" s="45" t="s">
        <v>35</v>
      </c>
      <c r="P25" s="46"/>
      <c r="Q25" s="47">
        <v>0.1</v>
      </c>
      <c r="R25" s="47">
        <v>0.11</v>
      </c>
      <c r="S25" s="47">
        <v>0.12</v>
      </c>
      <c r="T25" s="47">
        <v>0.1</v>
      </c>
      <c r="U25" s="47">
        <v>0.13</v>
      </c>
      <c r="V25" s="48">
        <v>0.127</v>
      </c>
      <c r="W25" s="6"/>
      <c r="X25" s="6"/>
    </row>
    <row r="26" spans="1:24" x14ac:dyDescent="0.25">
      <c r="A26" s="9" t="s">
        <v>36</v>
      </c>
      <c r="E26" s="43">
        <f t="shared" ref="E26:L27" si="3">Enterprise_Value/E98</f>
        <v>20.961778314222489</v>
      </c>
      <c r="F26" s="43">
        <f t="shared" si="3"/>
        <v>11.385598776223777</v>
      </c>
      <c r="G26" s="43">
        <f t="shared" si="3"/>
        <v>8.3061777600637701</v>
      </c>
      <c r="H26" s="43">
        <f t="shared" si="3"/>
        <v>4.4853131080080582</v>
      </c>
      <c r="I26" s="43">
        <f t="shared" si="3"/>
        <v>3.6808508293350686</v>
      </c>
      <c r="J26" s="43">
        <f t="shared" si="3"/>
        <v>2.9892360398887363</v>
      </c>
      <c r="K26" s="43">
        <f t="shared" si="3"/>
        <v>2.4870878901452418</v>
      </c>
      <c r="L26" s="44">
        <f t="shared" si="3"/>
        <v>2.020730438471543</v>
      </c>
      <c r="M26" s="44">
        <f t="shared" ref="M26" si="4">Enterprise_Value/M98</f>
        <v>1.6485467091150161</v>
      </c>
      <c r="N26" s="6"/>
      <c r="O26" s="45" t="s">
        <v>37</v>
      </c>
      <c r="P26" s="46"/>
      <c r="Q26" s="47">
        <v>0.505</v>
      </c>
      <c r="R26" s="47">
        <v>0.51250000000000007</v>
      </c>
      <c r="S26" s="47">
        <v>0.52</v>
      </c>
      <c r="T26" s="47">
        <v>0.52750000000000008</v>
      </c>
      <c r="U26" s="47">
        <v>0.53500000000000003</v>
      </c>
      <c r="V26" s="48">
        <v>0.54249999999999998</v>
      </c>
      <c r="W26" s="6"/>
      <c r="X26" s="6"/>
    </row>
    <row r="27" spans="1:24" x14ac:dyDescent="0.25">
      <c r="A27" s="9" t="s">
        <v>38</v>
      </c>
      <c r="E27" s="43">
        <f t="shared" si="3"/>
        <v>19.6679879199698</v>
      </c>
      <c r="F27" s="43">
        <f t="shared" si="3"/>
        <v>10.800269485903815</v>
      </c>
      <c r="G27" s="43">
        <f t="shared" si="3"/>
        <v>7.8470517358234808</v>
      </c>
      <c r="H27" s="43">
        <f t="shared" si="3"/>
        <v>4.3427940318412936</v>
      </c>
      <c r="I27" s="43">
        <f t="shared" si="3"/>
        <v>3.558475435348996</v>
      </c>
      <c r="J27" s="43">
        <f t="shared" si="3"/>
        <v>2.8860153890480036</v>
      </c>
      <c r="K27" s="43">
        <f t="shared" si="3"/>
        <v>2.3974260329631152</v>
      </c>
      <c r="L27" s="44">
        <f t="shared" si="3"/>
        <v>1.9446547801538037</v>
      </c>
      <c r="M27" s="44">
        <f t="shared" ref="M27" si="5">Enterprise_Value/M99</f>
        <v>1.5835871806338397</v>
      </c>
      <c r="N27" s="6"/>
      <c r="O27" s="45" t="s">
        <v>39</v>
      </c>
      <c r="P27" s="46"/>
      <c r="Q27" s="47">
        <v>0.02</v>
      </c>
      <c r="R27" s="47">
        <v>1.9310077519379847E-2</v>
      </c>
      <c r="S27" s="47">
        <v>1.9099999999999999E-2</v>
      </c>
      <c r="T27" s="47">
        <v>1.9E-2</v>
      </c>
      <c r="U27" s="47">
        <v>1.89E-2</v>
      </c>
      <c r="V27" s="48">
        <v>1.8508992248062E-2</v>
      </c>
      <c r="W27" s="6"/>
      <c r="X27" s="6"/>
    </row>
    <row r="28" spans="1:24" ht="16.5" thickBot="1" x14ac:dyDescent="0.3">
      <c r="A28" s="7"/>
      <c r="L28" s="22"/>
      <c r="M28" s="22"/>
      <c r="N28" s="6"/>
      <c r="O28" s="49" t="s">
        <v>40</v>
      </c>
      <c r="P28" s="50"/>
      <c r="Q28" s="51">
        <v>0.08</v>
      </c>
      <c r="R28" s="51">
        <v>8.2500000000000004E-2</v>
      </c>
      <c r="S28" s="51">
        <v>8.3000000000000004E-2</v>
      </c>
      <c r="T28" s="51">
        <v>8.3500000000000005E-2</v>
      </c>
      <c r="U28" s="51">
        <v>8.4000000000000005E-2</v>
      </c>
      <c r="V28" s="52">
        <v>8.5096201550387607E-2</v>
      </c>
      <c r="W28" s="6"/>
      <c r="X28" s="6"/>
    </row>
    <row r="29" spans="1:24" ht="16.5" thickBot="1" x14ac:dyDescent="0.3">
      <c r="A29" s="9" t="s">
        <v>41</v>
      </c>
      <c r="E29" s="43">
        <f t="shared" ref="E29:L29" si="6">Equity_Value/E100</f>
        <v>27.684397864346451</v>
      </c>
      <c r="F29" s="43">
        <f t="shared" si="6"/>
        <v>15.883821193555708</v>
      </c>
      <c r="G29" s="43">
        <f t="shared" si="6"/>
        <v>13.453776667307324</v>
      </c>
      <c r="H29" s="43">
        <f t="shared" si="6"/>
        <v>8.3505717197047797</v>
      </c>
      <c r="I29" s="43">
        <f t="shared" si="6"/>
        <v>6.0403729089864422</v>
      </c>
      <c r="J29" s="43">
        <f t="shared" si="6"/>
        <v>4.8211457082621427</v>
      </c>
      <c r="K29" s="43">
        <f t="shared" si="6"/>
        <v>4.0020458164328012</v>
      </c>
      <c r="L29" s="44">
        <f t="shared" si="6"/>
        <v>3.1815562523526593</v>
      </c>
      <c r="M29" s="44">
        <f t="shared" ref="M29" si="7">Equity_Value/M100</f>
        <v>2.6199854713762223</v>
      </c>
      <c r="N29" s="6"/>
      <c r="O29" s="157"/>
      <c r="P29" s="6"/>
      <c r="Q29" s="6"/>
      <c r="R29" s="6"/>
      <c r="S29" s="6"/>
      <c r="T29" s="6"/>
      <c r="U29" s="158"/>
      <c r="V29" s="6"/>
      <c r="W29" s="6"/>
      <c r="X29" s="6"/>
    </row>
    <row r="30" spans="1:24" x14ac:dyDescent="0.25">
      <c r="A30" s="9" t="s">
        <v>42</v>
      </c>
      <c r="E30" s="43">
        <f t="shared" ref="E30:L30" si="8">Share_Price/E95</f>
        <v>32.6174692166623</v>
      </c>
      <c r="F30" s="43">
        <f t="shared" si="8"/>
        <v>19.648329184816429</v>
      </c>
      <c r="G30" s="43">
        <f t="shared" si="8"/>
        <v>15.243781512605043</v>
      </c>
      <c r="H30" s="43">
        <f t="shared" si="8"/>
        <v>7.4189617721006069</v>
      </c>
      <c r="I30" s="43">
        <f t="shared" si="8"/>
        <v>6.0968131596676995</v>
      </c>
      <c r="J30" s="43">
        <f t="shared" si="8"/>
        <v>4.8593808502035127</v>
      </c>
      <c r="K30" s="43">
        <f t="shared" si="8"/>
        <v>4.0525865843200162</v>
      </c>
      <c r="L30" s="44">
        <f t="shared" si="8"/>
        <v>3.2369532265450558</v>
      </c>
      <c r="M30" s="44">
        <f t="shared" ref="M30" si="9">Share_Price/M95</f>
        <v>2.6798173929283728</v>
      </c>
      <c r="N30" s="6"/>
      <c r="O30" s="216" t="s">
        <v>43</v>
      </c>
      <c r="P30" s="217"/>
      <c r="Q30" s="177" t="str">
        <f>"FY "&amp;$G$22+1&amp;"E"</f>
        <v>FY 2020E</v>
      </c>
      <c r="R30" s="177" t="str">
        <f>"FY "&amp;$G$22+2&amp;"E"</f>
        <v>FY 2021E</v>
      </c>
      <c r="S30" s="177" t="str">
        <f>"FY "&amp;$G$22+3&amp;"E"</f>
        <v>FY 2022E</v>
      </c>
      <c r="T30" s="177" t="str">
        <f>"FY "&amp;$G$22+4&amp;"E"</f>
        <v>FY 2023E</v>
      </c>
      <c r="U30" s="177" t="str">
        <f>"FY "&amp;$G$22+5&amp;"E"</f>
        <v>FY 2024E</v>
      </c>
      <c r="V30" s="178" t="str">
        <f>"FY "&amp;$H$22+5&amp;"E"</f>
        <v>FY 2025E</v>
      </c>
      <c r="W30" s="6"/>
      <c r="X30" s="6"/>
    </row>
    <row r="31" spans="1:24" x14ac:dyDescent="0.25">
      <c r="A31" s="53" t="s">
        <v>44</v>
      </c>
      <c r="B31" s="54"/>
      <c r="C31" s="54"/>
      <c r="D31" s="54"/>
      <c r="E31" s="55"/>
      <c r="F31" s="55">
        <f t="shared" ref="F31:L31" si="10">Share_Price/F101</f>
        <v>5.7112896807452289</v>
      </c>
      <c r="G31" s="55">
        <f t="shared" si="10"/>
        <v>3.9996440720675315</v>
      </c>
      <c r="H31" s="55">
        <f t="shared" si="10"/>
        <v>2.5376398803747944</v>
      </c>
      <c r="I31" s="55">
        <f t="shared" si="10"/>
        <v>1.755348415691472</v>
      </c>
      <c r="J31" s="55">
        <f t="shared" si="10"/>
        <v>1.2656747614812951</v>
      </c>
      <c r="K31" s="55">
        <f t="shared" si="10"/>
        <v>0.94791504647387481</v>
      </c>
      <c r="L31" s="56">
        <f t="shared" si="10"/>
        <v>0.72108890593153829</v>
      </c>
      <c r="M31" s="56">
        <f t="shared" ref="M31" si="11">Share_Price/M101</f>
        <v>0.55899193601202624</v>
      </c>
      <c r="N31" s="6"/>
      <c r="O31" s="45" t="s">
        <v>35</v>
      </c>
      <c r="P31" s="46"/>
      <c r="Q31" s="47">
        <v>0.15</v>
      </c>
      <c r="R31" s="47">
        <v>0.16</v>
      </c>
      <c r="S31" s="47">
        <v>0.17</v>
      </c>
      <c r="T31" s="47">
        <v>0.15</v>
      </c>
      <c r="U31" s="47">
        <v>0.17</v>
      </c>
      <c r="V31" s="48">
        <v>0.16900000000000001</v>
      </c>
      <c r="W31" s="6"/>
      <c r="X31" s="6"/>
    </row>
    <row r="32" spans="1:24" x14ac:dyDescent="0.25">
      <c r="N32" s="6"/>
      <c r="O32" s="45" t="s">
        <v>37</v>
      </c>
      <c r="P32" s="46"/>
      <c r="Q32" s="47">
        <v>0.48</v>
      </c>
      <c r="R32" s="47">
        <v>0.48499999999999999</v>
      </c>
      <c r="S32" s="47">
        <v>0.47499999999999998</v>
      </c>
      <c r="T32" s="47">
        <v>0.47</v>
      </c>
      <c r="U32" s="47">
        <v>0.46500000000000002</v>
      </c>
      <c r="V32" s="48">
        <v>0.46150000000000002</v>
      </c>
      <c r="W32" s="6"/>
      <c r="X32" s="6"/>
    </row>
    <row r="33" spans="1:22" x14ac:dyDescent="0.25">
      <c r="A33" s="2" t="s">
        <v>45</v>
      </c>
      <c r="B33" s="3"/>
      <c r="C33" s="3"/>
      <c r="D33" s="3"/>
      <c r="E33" s="3"/>
      <c r="F33" s="3"/>
      <c r="G33" s="4"/>
      <c r="H33" s="4"/>
      <c r="I33" s="4"/>
      <c r="J33" s="4"/>
      <c r="K33" s="4"/>
      <c r="L33" s="5"/>
      <c r="M33" s="5"/>
      <c r="O33" s="45" t="s">
        <v>39</v>
      </c>
      <c r="P33" s="46"/>
      <c r="Q33" s="47">
        <v>1.7500000000000002E-2</v>
      </c>
      <c r="R33" s="47">
        <v>1.7600000000000001E-2</v>
      </c>
      <c r="S33" s="47">
        <v>1.72E-2</v>
      </c>
      <c r="T33" s="47">
        <v>1.7299999999999999E-2</v>
      </c>
      <c r="U33" s="47">
        <v>1.7100000000000001E-2</v>
      </c>
      <c r="V33" s="48">
        <v>1.7010000000000001E-2</v>
      </c>
    </row>
    <row r="34" spans="1:22" ht="16.5" thickBot="1" x14ac:dyDescent="0.3">
      <c r="A34" s="7"/>
      <c r="L34" s="22"/>
      <c r="M34" s="22"/>
      <c r="O34" s="49" t="s">
        <v>40</v>
      </c>
      <c r="P34" s="50"/>
      <c r="Q34" s="51">
        <v>7.0000000000000007E-2</v>
      </c>
      <c r="R34" s="51">
        <v>7.0999999999999994E-2</v>
      </c>
      <c r="S34" s="51">
        <v>7.1499999999999994E-2</v>
      </c>
      <c r="T34" s="51">
        <v>7.1999999999999995E-2</v>
      </c>
      <c r="U34" s="51">
        <v>7.2499999999999995E-2</v>
      </c>
      <c r="V34" s="52">
        <v>7.3200000000000001E-2</v>
      </c>
    </row>
    <row r="35" spans="1:22" ht="16.5" thickBot="1" x14ac:dyDescent="0.3">
      <c r="A35" s="7"/>
      <c r="E35" s="34" t="str">
        <f>E21</f>
        <v>Historical</v>
      </c>
      <c r="F35" s="35"/>
      <c r="G35" s="36"/>
      <c r="H35" s="37" t="str">
        <f>H21</f>
        <v>Projections</v>
      </c>
      <c r="I35" s="37"/>
      <c r="J35" s="37"/>
      <c r="K35" s="37"/>
      <c r="L35" s="38"/>
      <c r="M35" s="38"/>
      <c r="O35" s="71"/>
      <c r="U35" s="72"/>
    </row>
    <row r="36" spans="1:22" ht="16.5" thickBot="1" x14ac:dyDescent="0.3">
      <c r="A36" s="7"/>
      <c r="E36" s="39" t="str">
        <f>E23</f>
        <v>FY 2017</v>
      </c>
      <c r="F36" s="39" t="str">
        <f t="shared" ref="F36:L36" si="12">F23</f>
        <v>FY 2018</v>
      </c>
      <c r="G36" s="40" t="str">
        <f t="shared" si="12"/>
        <v>FY 2019</v>
      </c>
      <c r="H36" s="41" t="str">
        <f t="shared" si="12"/>
        <v>FY 2020E</v>
      </c>
      <c r="I36" s="41" t="str">
        <f t="shared" si="12"/>
        <v>FY 2021E</v>
      </c>
      <c r="J36" s="41" t="str">
        <f t="shared" si="12"/>
        <v>FY 2022E</v>
      </c>
      <c r="K36" s="41" t="str">
        <f t="shared" si="12"/>
        <v>FY 2023E</v>
      </c>
      <c r="L36" s="42" t="str">
        <f t="shared" si="12"/>
        <v>FY 2024E</v>
      </c>
      <c r="M36" s="42" t="str">
        <f t="shared" ref="M36" si="13">M23</f>
        <v>FY 2025E</v>
      </c>
      <c r="O36" s="216" t="s">
        <v>46</v>
      </c>
      <c r="P36" s="217"/>
      <c r="Q36" s="177" t="str">
        <f>"FY "&amp;$G$22+1&amp;"E"</f>
        <v>FY 2020E</v>
      </c>
      <c r="R36" s="177" t="str">
        <f>"FY "&amp;$G$22+2&amp;"E"</f>
        <v>FY 2021E</v>
      </c>
      <c r="S36" s="177" t="str">
        <f>"FY "&amp;$G$22+3&amp;"E"</f>
        <v>FY 2022E</v>
      </c>
      <c r="T36" s="177" t="str">
        <f>"FY "&amp;$G$22+4&amp;"E"</f>
        <v>FY 2023E</v>
      </c>
      <c r="U36" s="177" t="str">
        <f>"FY "&amp;$G$22+5&amp;"E"</f>
        <v>FY 2024E</v>
      </c>
      <c r="V36" s="178" t="str">
        <f>"FY "&amp;$H$22+5&amp;"E"</f>
        <v>FY 2025E</v>
      </c>
    </row>
    <row r="37" spans="1:22" x14ac:dyDescent="0.25">
      <c r="A37" s="7" t="s">
        <v>47</v>
      </c>
      <c r="E37" s="41"/>
      <c r="F37" s="41"/>
      <c r="G37" s="41"/>
      <c r="H37" s="57">
        <v>0.03</v>
      </c>
      <c r="I37" s="58">
        <v>0.04</v>
      </c>
      <c r="J37" s="58">
        <v>0.04</v>
      </c>
      <c r="K37" s="58">
        <v>0.02</v>
      </c>
      <c r="L37" s="59">
        <v>-0.03</v>
      </c>
      <c r="M37" s="59">
        <v>-0.03</v>
      </c>
      <c r="O37" s="45" t="s">
        <v>35</v>
      </c>
      <c r="P37" s="46"/>
      <c r="Q37" s="47">
        <v>0.2</v>
      </c>
      <c r="R37" s="47">
        <v>0.21</v>
      </c>
      <c r="S37" s="47">
        <v>0.22</v>
      </c>
      <c r="T37" s="47">
        <v>0.2</v>
      </c>
      <c r="U37" s="47">
        <v>0.22</v>
      </c>
      <c r="V37" s="48">
        <v>0.219</v>
      </c>
    </row>
    <row r="38" spans="1:22" x14ac:dyDescent="0.25">
      <c r="A38" s="7" t="s">
        <v>48</v>
      </c>
      <c r="E38" s="41"/>
      <c r="F38" s="41"/>
      <c r="G38" s="41"/>
      <c r="H38" s="60">
        <v>0.01</v>
      </c>
      <c r="I38" s="61">
        <v>0.01</v>
      </c>
      <c r="J38" s="61">
        <v>0.03</v>
      </c>
      <c r="K38" s="61">
        <v>0</v>
      </c>
      <c r="L38" s="62">
        <v>-0.02</v>
      </c>
      <c r="M38" s="62">
        <v>-0.02</v>
      </c>
      <c r="O38" s="45" t="s">
        <v>37</v>
      </c>
      <c r="P38" s="46"/>
      <c r="Q38" s="47">
        <v>0.46</v>
      </c>
      <c r="R38" s="47">
        <v>0.45500000000000002</v>
      </c>
      <c r="S38" s="47">
        <v>0.45200000000000001</v>
      </c>
      <c r="T38" s="47">
        <v>0.45</v>
      </c>
      <c r="U38" s="47">
        <v>0.44500000000000001</v>
      </c>
      <c r="V38" s="48">
        <v>0.44190000000000002</v>
      </c>
    </row>
    <row r="39" spans="1:22" x14ac:dyDescent="0.25">
      <c r="A39" s="7" t="s">
        <v>49</v>
      </c>
      <c r="H39" s="60">
        <v>0.06</v>
      </c>
      <c r="I39" s="63">
        <v>0.05</v>
      </c>
      <c r="J39" s="63">
        <v>0.03</v>
      </c>
      <c r="K39" s="63">
        <v>0.02</v>
      </c>
      <c r="L39" s="64">
        <v>0.02</v>
      </c>
      <c r="M39" s="64">
        <v>0.02</v>
      </c>
      <c r="O39" s="45" t="s">
        <v>39</v>
      </c>
      <c r="P39" s="46"/>
      <c r="Q39" s="47">
        <v>1.4999999999999999E-2</v>
      </c>
      <c r="R39" s="47">
        <v>1.4999999999999999E-2</v>
      </c>
      <c r="S39" s="47">
        <v>1.2500000000000001E-2</v>
      </c>
      <c r="T39" s="47">
        <v>1.2500000000000001E-2</v>
      </c>
      <c r="U39" s="47">
        <v>1.2E-2</v>
      </c>
      <c r="V39" s="48">
        <v>1.085E-2</v>
      </c>
    </row>
    <row r="40" spans="1:22" ht="16.5" thickBot="1" x14ac:dyDescent="0.3">
      <c r="A40" s="7" t="s">
        <v>50</v>
      </c>
      <c r="H40" s="65">
        <f t="shared" ref="H40:M40" si="14">((1+H37)*(1+H38)*(1+H39))-1</f>
        <v>0.10271800000000009</v>
      </c>
      <c r="I40" s="63">
        <f t="shared" si="14"/>
        <v>0.10292000000000012</v>
      </c>
      <c r="J40" s="63">
        <f t="shared" si="14"/>
        <v>0.10333600000000009</v>
      </c>
      <c r="K40" s="63">
        <f t="shared" si="14"/>
        <v>4.0399999999999991E-2</v>
      </c>
      <c r="L40" s="64">
        <f t="shared" si="14"/>
        <v>-3.0387999999999971E-2</v>
      </c>
      <c r="M40" s="64">
        <f t="shared" si="14"/>
        <v>-3.0387999999999971E-2</v>
      </c>
      <c r="O40" s="49" t="s">
        <v>40</v>
      </c>
      <c r="P40" s="50"/>
      <c r="Q40" s="51">
        <v>0.06</v>
      </c>
      <c r="R40" s="51">
        <v>6.0999999999999999E-2</v>
      </c>
      <c r="S40" s="51">
        <v>6.1499999999999999E-2</v>
      </c>
      <c r="T40" s="51">
        <v>6.2E-2</v>
      </c>
      <c r="U40" s="51">
        <v>6.25E-2</v>
      </c>
      <c r="V40" s="52">
        <v>6.3200000000000006E-2</v>
      </c>
    </row>
    <row r="41" spans="1:22" ht="16.5" thickBot="1" x14ac:dyDescent="0.3">
      <c r="A41" s="7"/>
      <c r="H41" s="65"/>
      <c r="I41" s="63"/>
      <c r="J41" s="63"/>
      <c r="K41" s="63"/>
      <c r="L41" s="64"/>
      <c r="M41" s="64"/>
    </row>
    <row r="42" spans="1:22" x14ac:dyDescent="0.25">
      <c r="A42" s="7" t="s">
        <v>51</v>
      </c>
      <c r="H42" s="65">
        <v>0.02</v>
      </c>
      <c r="I42" s="63">
        <v>0.03</v>
      </c>
      <c r="J42" s="63">
        <v>0.04</v>
      </c>
      <c r="K42" s="63">
        <v>0.05</v>
      </c>
      <c r="L42" s="64">
        <v>-0.08</v>
      </c>
      <c r="M42" s="64">
        <v>-0.08</v>
      </c>
      <c r="O42" s="216" t="s">
        <v>166</v>
      </c>
      <c r="P42" s="217"/>
      <c r="Q42" s="177" t="str">
        <f>"FY "&amp;$G$22+1&amp;"E"</f>
        <v>FY 2020E</v>
      </c>
      <c r="R42" s="177" t="str">
        <f>"FY "&amp;$G$22+2&amp;"E"</f>
        <v>FY 2021E</v>
      </c>
      <c r="S42" s="177" t="str">
        <f>"FY "&amp;$G$22+3&amp;"E"</f>
        <v>FY 2022E</v>
      </c>
      <c r="T42" s="177" t="str">
        <f>"FY "&amp;$G$22+4&amp;"E"</f>
        <v>FY 2023E</v>
      </c>
      <c r="U42" s="177" t="str">
        <f>"FY "&amp;$G$22+5&amp;"E"</f>
        <v>FY 2024E</v>
      </c>
      <c r="V42" s="178" t="str">
        <f>"FY "&amp;$H$22+5&amp;"E"</f>
        <v>FY 2025E</v>
      </c>
    </row>
    <row r="43" spans="1:22" x14ac:dyDescent="0.25">
      <c r="A43" s="7" t="s">
        <v>52</v>
      </c>
      <c r="H43" s="65">
        <v>0.01</v>
      </c>
      <c r="I43" s="63">
        <v>0.01</v>
      </c>
      <c r="J43" s="63">
        <v>5.0000000000000001E-3</v>
      </c>
      <c r="K43" s="63">
        <v>0</v>
      </c>
      <c r="L43" s="64">
        <v>-0.01</v>
      </c>
      <c r="M43" s="64">
        <v>-0.01</v>
      </c>
      <c r="O43" s="45" t="s">
        <v>35</v>
      </c>
      <c r="P43" s="46"/>
      <c r="Q43" s="47">
        <v>0.25</v>
      </c>
      <c r="R43" s="47">
        <v>0.26250000000000001</v>
      </c>
      <c r="S43" s="47">
        <v>0.27500000000000002</v>
      </c>
      <c r="T43" s="47">
        <v>0.25</v>
      </c>
      <c r="U43" s="47">
        <v>0.27500000000000002</v>
      </c>
      <c r="V43" s="48">
        <v>0.27374999999999999</v>
      </c>
    </row>
    <row r="44" spans="1:22" x14ac:dyDescent="0.25">
      <c r="A44" s="7" t="s">
        <v>53</v>
      </c>
      <c r="H44" s="65">
        <v>0.02</v>
      </c>
      <c r="I44" s="63">
        <v>0.03</v>
      </c>
      <c r="J44" s="63">
        <v>0.05</v>
      </c>
      <c r="K44" s="63">
        <v>0.03</v>
      </c>
      <c r="L44" s="64">
        <v>0.02</v>
      </c>
      <c r="M44" s="64">
        <v>0.02</v>
      </c>
      <c r="O44" s="45" t="s">
        <v>37</v>
      </c>
      <c r="P44" s="46"/>
      <c r="Q44" s="47">
        <v>0.57500000000000007</v>
      </c>
      <c r="R44" s="47">
        <v>0.56874999999999998</v>
      </c>
      <c r="S44" s="47">
        <v>0.56500000000000006</v>
      </c>
      <c r="T44" s="47">
        <v>0.5625</v>
      </c>
      <c r="U44" s="47">
        <v>0.55625000000000002</v>
      </c>
      <c r="V44" s="48">
        <v>0.55237500000000006</v>
      </c>
    </row>
    <row r="45" spans="1:22" x14ac:dyDescent="0.25">
      <c r="A45" s="7" t="s">
        <v>54</v>
      </c>
      <c r="H45" s="65">
        <f t="shared" ref="H45:M45" si="15">((1+H42)*(1+H43)*(1+H44))-1</f>
        <v>5.0804000000000071E-2</v>
      </c>
      <c r="I45" s="63">
        <f t="shared" si="15"/>
        <v>7.1509000000000045E-2</v>
      </c>
      <c r="J45" s="63">
        <f t="shared" si="15"/>
        <v>9.745999999999988E-2</v>
      </c>
      <c r="K45" s="63">
        <f t="shared" si="15"/>
        <v>8.1500000000000128E-2</v>
      </c>
      <c r="L45" s="64">
        <f t="shared" si="15"/>
        <v>-7.0983999999999936E-2</v>
      </c>
      <c r="M45" s="64">
        <f t="shared" si="15"/>
        <v>-7.0983999999999936E-2</v>
      </c>
      <c r="O45" s="45" t="s">
        <v>39</v>
      </c>
      <c r="P45" s="46"/>
      <c r="Q45" s="47">
        <v>1.2749999999999999E-2</v>
      </c>
      <c r="R45" s="47">
        <v>1.2749999999999999E-2</v>
      </c>
      <c r="S45" s="47">
        <v>1.0625000000000001E-2</v>
      </c>
      <c r="T45" s="47">
        <v>1.0625000000000001E-2</v>
      </c>
      <c r="U45" s="47">
        <v>1.0200000000000001E-2</v>
      </c>
      <c r="V45" s="48">
        <v>9.2224999999999998E-3</v>
      </c>
    </row>
    <row r="46" spans="1:22" ht="16.5" thickBot="1" x14ac:dyDescent="0.3">
      <c r="A46" s="7"/>
      <c r="H46" s="65"/>
      <c r="I46" s="63"/>
      <c r="J46" s="63"/>
      <c r="K46" s="63"/>
      <c r="L46" s="64"/>
      <c r="M46" s="64"/>
      <c r="O46" s="49" t="s">
        <v>40</v>
      </c>
      <c r="P46" s="50"/>
      <c r="Q46" s="51">
        <v>5.0999999999999997E-2</v>
      </c>
      <c r="R46" s="51">
        <v>5.185E-2</v>
      </c>
      <c r="S46" s="51">
        <v>5.2274999999999995E-2</v>
      </c>
      <c r="T46" s="51">
        <v>5.2699999999999997E-2</v>
      </c>
      <c r="U46" s="51">
        <v>5.3124999999999999E-2</v>
      </c>
      <c r="V46" s="52">
        <v>5.3720000000000004E-2</v>
      </c>
    </row>
    <row r="47" spans="1:22" ht="24" thickBot="1" x14ac:dyDescent="0.4">
      <c r="A47" s="7" t="s">
        <v>35</v>
      </c>
      <c r="E47" s="66">
        <f>E74/19315-1</f>
        <v>0.2891535076365519</v>
      </c>
      <c r="F47" s="66">
        <f>F74/E74-1</f>
        <v>0.51807228915662651</v>
      </c>
      <c r="G47" s="66">
        <f>G74/F74-1</f>
        <v>0.13756613756613767</v>
      </c>
      <c r="H47" s="67">
        <f>IF($K$14=1,Q25,IF($K$14=2,Q31,IF($K$14=3,Q37,IF($K$14=4,Q43))))</f>
        <v>0.2</v>
      </c>
      <c r="I47" s="67">
        <f t="shared" ref="I47:M50" si="16">IF($K$14=1,R25,IF($K$14=2,R31,IF($K$14=3,R37,IF($K$14=4,R43))))</f>
        <v>0.21</v>
      </c>
      <c r="J47" s="67">
        <f t="shared" si="16"/>
        <v>0.22</v>
      </c>
      <c r="K47" s="67">
        <f t="shared" si="16"/>
        <v>0.2</v>
      </c>
      <c r="L47" s="67">
        <f t="shared" si="16"/>
        <v>0.22</v>
      </c>
      <c r="M47" s="67">
        <f t="shared" si="16"/>
        <v>0.219</v>
      </c>
    </row>
    <row r="48" spans="1:22" ht="24" thickBot="1" x14ac:dyDescent="0.4">
      <c r="A48" s="7" t="s">
        <v>37</v>
      </c>
      <c r="E48" s="66">
        <f>E75/E74</f>
        <v>0.65389558232931722</v>
      </c>
      <c r="F48" s="66">
        <f>F75/F74</f>
        <v>0.63620811287477952</v>
      </c>
      <c r="G48" s="66">
        <f>G75/G74</f>
        <v>0.588937984496124</v>
      </c>
      <c r="H48" s="67">
        <f t="shared" ref="H48:H50" si="17">IF($K$14=1,Q26,IF($K$14=2,Q32,IF($K$14=3,Q38,IF($K$14=4,Q44))))</f>
        <v>0.46</v>
      </c>
      <c r="I48" s="67">
        <f t="shared" si="16"/>
        <v>0.45500000000000002</v>
      </c>
      <c r="J48" s="67">
        <f t="shared" si="16"/>
        <v>0.45200000000000001</v>
      </c>
      <c r="K48" s="67">
        <f t="shared" si="16"/>
        <v>0.45</v>
      </c>
      <c r="L48" s="67">
        <f t="shared" si="16"/>
        <v>0.44500000000000001</v>
      </c>
      <c r="M48" s="67">
        <f t="shared" si="16"/>
        <v>0.44190000000000002</v>
      </c>
      <c r="O48" s="214" t="s">
        <v>33</v>
      </c>
      <c r="P48" s="215"/>
      <c r="Q48" s="177" t="str">
        <f>"FY "&amp;$G$22+1&amp;"E"</f>
        <v>FY 2020E</v>
      </c>
      <c r="R48" s="177" t="str">
        <f>"FY "&amp;$G$22+2&amp;"E"</f>
        <v>FY 2021E</v>
      </c>
      <c r="S48" s="177" t="str">
        <f>"FY "&amp;$G$22+3&amp;"E"</f>
        <v>FY 2022E</v>
      </c>
      <c r="T48" s="177" t="str">
        <f>"FY "&amp;$G$22+4&amp;"E"</f>
        <v>FY 2023E</v>
      </c>
      <c r="U48" s="177" t="str">
        <f>"FY "&amp;$G$22+5&amp;"E"</f>
        <v>FY 2024E</v>
      </c>
      <c r="V48" s="178" t="str">
        <f>"FY "&amp;$H$22+5&amp;"E"</f>
        <v>FY 2025E</v>
      </c>
    </row>
    <row r="49" spans="1:22" ht="24" thickBot="1" x14ac:dyDescent="0.4">
      <c r="A49" s="7" t="s">
        <v>39</v>
      </c>
      <c r="E49" s="66">
        <f>E78/E74</f>
        <v>2.3935742971887549E-2</v>
      </c>
      <c r="F49" s="66">
        <f>F78/F74</f>
        <v>2.0070546737213403E-2</v>
      </c>
      <c r="G49" s="66">
        <f>G78/G74</f>
        <v>1.9310077519379847E-2</v>
      </c>
      <c r="H49" s="67">
        <f t="shared" si="17"/>
        <v>1.4999999999999999E-2</v>
      </c>
      <c r="I49" s="67">
        <f t="shared" si="16"/>
        <v>1.4999999999999999E-2</v>
      </c>
      <c r="J49" s="67">
        <f t="shared" si="16"/>
        <v>1.2500000000000001E-2</v>
      </c>
      <c r="K49" s="67">
        <f t="shared" si="16"/>
        <v>1.2500000000000001E-2</v>
      </c>
      <c r="L49" s="67">
        <f t="shared" si="16"/>
        <v>1.2E-2</v>
      </c>
      <c r="M49" s="67">
        <f t="shared" si="16"/>
        <v>1.085E-2</v>
      </c>
      <c r="O49" s="210" t="s">
        <v>55</v>
      </c>
      <c r="P49" s="211"/>
      <c r="Q49" s="182">
        <v>1.6511627906976745E-2</v>
      </c>
      <c r="R49" s="182">
        <v>1.7511627906976746E-2</v>
      </c>
      <c r="S49" s="182">
        <v>1.8511627906976746E-2</v>
      </c>
      <c r="T49" s="182">
        <v>1.9511627906976747E-2</v>
      </c>
      <c r="U49" s="182">
        <v>2.0511627906976748E-2</v>
      </c>
      <c r="V49" s="182">
        <v>2.1511627906976749E-2</v>
      </c>
    </row>
    <row r="50" spans="1:22" ht="23.25" x14ac:dyDescent="0.35">
      <c r="A50" s="7" t="s">
        <v>40</v>
      </c>
      <c r="E50" s="66">
        <f>E79/E74</f>
        <v>0.10939759036144578</v>
      </c>
      <c r="F50" s="66">
        <f>F79/F74</f>
        <v>8.8483245149911807E-2</v>
      </c>
      <c r="G50" s="66">
        <f>G79/G74</f>
        <v>8.2937984496124037E-2</v>
      </c>
      <c r="H50" s="67">
        <f t="shared" si="17"/>
        <v>0.06</v>
      </c>
      <c r="I50" s="67">
        <f t="shared" si="16"/>
        <v>6.0999999999999999E-2</v>
      </c>
      <c r="J50" s="67">
        <f t="shared" si="16"/>
        <v>6.1499999999999999E-2</v>
      </c>
      <c r="K50" s="67">
        <f t="shared" si="16"/>
        <v>6.2E-2</v>
      </c>
      <c r="L50" s="67">
        <f t="shared" si="16"/>
        <v>6.25E-2</v>
      </c>
      <c r="M50" s="67">
        <f t="shared" si="16"/>
        <v>6.3200000000000006E-2</v>
      </c>
      <c r="O50" s="210" t="s">
        <v>56</v>
      </c>
      <c r="P50" s="211"/>
      <c r="Q50" s="182">
        <v>1.7069767441860464E-2</v>
      </c>
      <c r="R50" s="182">
        <v>1.8069767441860465E-2</v>
      </c>
      <c r="S50" s="182">
        <v>1.9069767441860466E-2</v>
      </c>
      <c r="T50" s="182">
        <v>2.0069767441860467E-2</v>
      </c>
      <c r="U50" s="182">
        <v>2.1069767441860468E-2</v>
      </c>
      <c r="V50" s="182">
        <v>2.2069767441860469E-2</v>
      </c>
    </row>
    <row r="51" spans="1:22" ht="16.5" thickBot="1" x14ac:dyDescent="0.3">
      <c r="A51" s="7"/>
      <c r="E51" s="66"/>
      <c r="F51" s="66"/>
      <c r="G51" s="66"/>
      <c r="H51" s="68"/>
      <c r="I51" s="66"/>
      <c r="J51" s="66"/>
      <c r="K51" s="66"/>
      <c r="L51" s="69"/>
      <c r="M51" s="69"/>
      <c r="O51" s="210" t="s">
        <v>57</v>
      </c>
      <c r="P51" s="211"/>
      <c r="Q51" s="183">
        <v>0.01</v>
      </c>
      <c r="R51" s="182">
        <v>1.0999999999999999E-2</v>
      </c>
      <c r="S51" s="182">
        <v>1.2E-2</v>
      </c>
      <c r="T51" s="182">
        <v>1.3000000000000001E-2</v>
      </c>
      <c r="U51" s="182">
        <v>1.4000000000000002E-2</v>
      </c>
      <c r="V51" s="182">
        <v>1.5000000000000003E-2</v>
      </c>
    </row>
    <row r="52" spans="1:22" ht="16.5" thickBot="1" x14ac:dyDescent="0.3">
      <c r="A52" s="7" t="s">
        <v>55</v>
      </c>
      <c r="E52" s="66">
        <f>E84/E74</f>
        <v>9.7188755020080324E-3</v>
      </c>
      <c r="F52" s="66">
        <f>F84/F74</f>
        <v>1.3650793650793651E-2</v>
      </c>
      <c r="G52" s="66">
        <f>G84/G74</f>
        <v>1.6511627906976745E-2</v>
      </c>
      <c r="H52" s="188" cm="1">
        <f t="array" ref="H52">_xlfn.IFS($K$14=1,Q49,$K$14=2,Q56,$K$14=3,Q63,$K$14=4,Q70)</f>
        <v>2.1999999999999999E-2</v>
      </c>
      <c r="I52" s="188" cm="1">
        <f t="array" ref="I52">_xlfn.IFS($K$14=1,R49,$K$14=2,R56,$K$14=3,R63,$K$14=4,R70)</f>
        <v>2.3E-2</v>
      </c>
      <c r="J52" s="188" cm="1">
        <f t="array" ref="J52">_xlfn.IFS($K$14=1,S49,$K$14=2,S56,$K$14=3,S63,$K$14=4,S70)</f>
        <v>2.4E-2</v>
      </c>
      <c r="K52" s="188" cm="1">
        <f t="array" ref="K52">_xlfn.IFS($K$14=1,T49,$K$14=2,T56,$K$14=3,T63,$K$14=4,T70)</f>
        <v>2.5000000000000001E-2</v>
      </c>
      <c r="L52" s="188" cm="1">
        <f t="array" ref="L52">_xlfn.IFS($K$14=1,U49,$K$14=2,U56,$K$14=3,U63,$K$14=4,U70)</f>
        <v>2.6000000000000002E-2</v>
      </c>
      <c r="M52" s="188" cm="1">
        <f t="array" ref="M52">_xlfn.IFS($K$14=1,V49,$K$14=2,V56,$K$14=3,V63,$K$14=4,V70)</f>
        <v>2.7000000000000003E-2</v>
      </c>
      <c r="O52" s="210" t="s">
        <v>58</v>
      </c>
      <c r="P52" s="211"/>
      <c r="Q52" s="183">
        <v>0.06</v>
      </c>
      <c r="R52" s="182">
        <v>6.0999999999999999E-2</v>
      </c>
      <c r="S52" s="182">
        <v>6.2E-2</v>
      </c>
      <c r="T52" s="182">
        <v>6.3E-2</v>
      </c>
      <c r="U52" s="182">
        <v>6.4000000000000001E-2</v>
      </c>
      <c r="V52" s="182">
        <v>6.5000000000000002E-2</v>
      </c>
    </row>
    <row r="53" spans="1:22" ht="16.5" thickBot="1" x14ac:dyDescent="0.3">
      <c r="A53" s="7" t="s">
        <v>56</v>
      </c>
      <c r="E53" s="66">
        <f>E82/E74</f>
        <v>1.3132530120481928E-2</v>
      </c>
      <c r="F53" s="66">
        <f>F82/F74</f>
        <v>1.3121693121693121E-2</v>
      </c>
      <c r="G53" s="66">
        <f>G82/G74</f>
        <v>1.7069767441860464E-2</v>
      </c>
      <c r="H53" s="188" cm="1">
        <f t="array" ref="H53">_xlfn.IFS($K$14=1,Q50,$K$14=2,Q57,$K$14=3,Q64,$K$14=4,Q71)</f>
        <v>1.4E-2</v>
      </c>
      <c r="I53" s="188" cm="1">
        <f t="array" ref="I53">_xlfn.IFS($K$14=1,R50,$K$14=2,R57,$K$14=3,R64,$K$14=4,R71)</f>
        <v>1.4999999999999999E-2</v>
      </c>
      <c r="J53" s="188" cm="1">
        <f t="array" ref="J53">_xlfn.IFS($K$14=1,S50,$K$14=2,S57,$K$14=3,S64,$K$14=4,S71)</f>
        <v>1.6E-2</v>
      </c>
      <c r="K53" s="188" cm="1">
        <f t="array" ref="K53">_xlfn.IFS($K$14=1,T50,$K$14=2,T57,$K$14=3,T64,$K$14=4,T71)</f>
        <v>1.7000000000000001E-2</v>
      </c>
      <c r="L53" s="188" cm="1">
        <f t="array" ref="L53">_xlfn.IFS($K$14=1,U50,$K$14=2,U57,$K$14=3,U64,$K$14=4,U71)</f>
        <v>1.8000000000000002E-2</v>
      </c>
      <c r="M53" s="188" cm="1">
        <f t="array" ref="M53">_xlfn.IFS($K$14=1,V50,$K$14=2,V57,$K$14=3,V64,$K$14=4,V71)</f>
        <v>1.9000000000000003E-2</v>
      </c>
      <c r="O53" s="212" t="s">
        <v>59</v>
      </c>
      <c r="P53" s="213"/>
      <c r="Q53" s="184">
        <v>0.2</v>
      </c>
      <c r="R53" s="182">
        <v>0.20100000000000001</v>
      </c>
      <c r="S53" s="182">
        <v>0.20200000000000001</v>
      </c>
      <c r="T53" s="182">
        <v>0.20300000000000001</v>
      </c>
      <c r="U53" s="182">
        <v>0.20400000000000001</v>
      </c>
      <c r="V53" s="182">
        <v>0.20500000000000002</v>
      </c>
    </row>
    <row r="54" spans="1:22" ht="16.5" thickBot="1" x14ac:dyDescent="0.3">
      <c r="A54" s="7" t="s">
        <v>57</v>
      </c>
      <c r="E54" s="70">
        <v>5.2699999999999997E-2</v>
      </c>
      <c r="F54" s="70">
        <v>3.44E-2</v>
      </c>
      <c r="G54" s="70">
        <v>1.43E-2</v>
      </c>
      <c r="H54" s="188" cm="1">
        <f t="array" ref="H54">_xlfn.IFS($K$14=1,Q51,$K$14=2,Q58,$K$14=3,Q65,$K$14=4,Q72)</f>
        <v>1.4E-2</v>
      </c>
      <c r="I54" s="188" cm="1">
        <f t="array" ref="I54">_xlfn.IFS($K$14=1,R51,$K$14=2,R58,$K$14=3,R65,$K$14=4,R72)</f>
        <v>1.4999999999999999E-2</v>
      </c>
      <c r="J54" s="188" cm="1">
        <f t="array" ref="J54">_xlfn.IFS($K$14=1,S51,$K$14=2,S58,$K$14=3,S65,$K$14=4,S72)</f>
        <v>1.6E-2</v>
      </c>
      <c r="K54" s="188" cm="1">
        <f t="array" ref="K54">_xlfn.IFS($K$14=1,T51,$K$14=2,T58,$K$14=3,T65,$K$14=4,T72)</f>
        <v>1.7000000000000001E-2</v>
      </c>
      <c r="L54" s="188" cm="1">
        <f t="array" ref="L54">_xlfn.IFS($K$14=1,U51,$K$14=2,U58,$K$14=3,U65,$K$14=4,U72)</f>
        <v>1.8000000000000002E-2</v>
      </c>
      <c r="M54" s="188" cm="1">
        <f t="array" ref="M54">_xlfn.IFS($K$14=1,V51,$K$14=2,V58,$K$14=3,V65,$K$14=4,V72)</f>
        <v>1.9000000000000003E-2</v>
      </c>
      <c r="Q54" s="185"/>
      <c r="R54" s="185"/>
      <c r="S54" s="185"/>
      <c r="T54" s="185"/>
      <c r="U54" s="185"/>
      <c r="V54" s="185"/>
    </row>
    <row r="55" spans="1:22" ht="16.5" thickBot="1" x14ac:dyDescent="0.3">
      <c r="A55" s="7" t="s">
        <v>58</v>
      </c>
      <c r="E55" s="70">
        <v>0</v>
      </c>
      <c r="F55" s="70">
        <v>0</v>
      </c>
      <c r="G55" s="70">
        <v>0</v>
      </c>
      <c r="H55" s="188" cm="1">
        <f t="array" ref="H55">_xlfn.IFS($K$14=1,Q52,$K$14=2,Q59,$K$14=3,Q66,$K$14=4,Q73)</f>
        <v>7.4999999999999997E-2</v>
      </c>
      <c r="I55" s="188" cm="1">
        <f t="array" ref="I55">_xlfn.IFS($K$14=1,R52,$K$14=2,R59,$K$14=3,R66,$K$14=4,R73)</f>
        <v>7.5999999999999998E-2</v>
      </c>
      <c r="J55" s="188" cm="1">
        <f t="array" ref="J55">_xlfn.IFS($K$14=1,S52,$K$14=2,S59,$K$14=3,S66,$K$14=4,S73)</f>
        <v>7.6999999999999999E-2</v>
      </c>
      <c r="K55" s="188" cm="1">
        <f t="array" ref="K55">_xlfn.IFS($K$14=1,T52,$K$14=2,T59,$K$14=3,T66,$K$14=4,T73)</f>
        <v>7.8E-2</v>
      </c>
      <c r="L55" s="188" cm="1">
        <f t="array" ref="L55">_xlfn.IFS($K$14=1,U52,$K$14=2,U59,$K$14=3,U66,$K$14=4,U73)</f>
        <v>7.9000000000000001E-2</v>
      </c>
      <c r="M55" s="188" cm="1">
        <f t="array" ref="M55">_xlfn.IFS($K$14=1,V52,$K$14=2,V59,$K$14=3,V66,$K$14=4,V73)</f>
        <v>0.08</v>
      </c>
      <c r="O55" s="214" t="s">
        <v>43</v>
      </c>
      <c r="P55" s="215"/>
      <c r="Q55" s="186" t="s">
        <v>167</v>
      </c>
      <c r="R55" s="186" t="s">
        <v>168</v>
      </c>
      <c r="S55" s="186" t="s">
        <v>169</v>
      </c>
      <c r="T55" s="186" t="s">
        <v>170</v>
      </c>
      <c r="U55" s="186" t="s">
        <v>171</v>
      </c>
      <c r="V55" s="187" t="s">
        <v>172</v>
      </c>
    </row>
    <row r="56" spans="1:22" x14ac:dyDescent="0.25">
      <c r="A56" s="7" t="s">
        <v>59</v>
      </c>
      <c r="E56" s="66">
        <f>E91/E90</f>
        <v>0.2835960960960961</v>
      </c>
      <c r="F56" s="66">
        <f>F91/F90</f>
        <v>0.3055315471045808</v>
      </c>
      <c r="G56" s="66">
        <f>G91/G90</f>
        <v>0.31502343557273249</v>
      </c>
      <c r="H56" s="188" cm="1">
        <f t="array" ref="H56">_xlfn.IFS($K$14=1,Q53,$K$14=2,Q60,$K$14=3,Q67,$K$14=4,Q74)</f>
        <v>0.24</v>
      </c>
      <c r="I56" s="188" cm="1">
        <f t="array" ref="I56">_xlfn.IFS($K$14=1,R53,$K$14=2,R60,$K$14=3,R67,$K$14=4,R74)</f>
        <v>0.24099999999999999</v>
      </c>
      <c r="J56" s="188" cm="1">
        <f t="array" ref="J56">_xlfn.IFS($K$14=1,S53,$K$14=2,S60,$K$14=3,S67,$K$14=4,S74)</f>
        <v>0.24199999999999999</v>
      </c>
      <c r="K56" s="188" cm="1">
        <f t="array" ref="K56">_xlfn.IFS($K$14=1,T53,$K$14=2,T60,$K$14=3,T67,$K$14=4,T74)</f>
        <v>0.24299999999999999</v>
      </c>
      <c r="L56" s="188" cm="1">
        <f t="array" ref="L56">_xlfn.IFS($K$14=1,U53,$K$14=2,U60,$K$14=3,U67,$K$14=4,U74)</f>
        <v>0.24399999999999999</v>
      </c>
      <c r="M56" s="188" cm="1">
        <f t="array" ref="M56">_xlfn.IFS($K$14=1,V53,$K$14=2,V60,$K$14=3,V67,$K$14=4,V74)</f>
        <v>0.245</v>
      </c>
      <c r="O56" s="210" t="s">
        <v>55</v>
      </c>
      <c r="P56" s="211"/>
      <c r="Q56" s="182">
        <v>0.02</v>
      </c>
      <c r="R56" s="182">
        <v>2.1000000000000001E-2</v>
      </c>
      <c r="S56" s="182">
        <v>2.2000000000000002E-2</v>
      </c>
      <c r="T56" s="182">
        <v>2.3000000000000003E-2</v>
      </c>
      <c r="U56" s="182">
        <v>2.4000000000000004E-2</v>
      </c>
      <c r="V56" s="182">
        <v>2.5000000000000005E-2</v>
      </c>
    </row>
    <row r="57" spans="1:22" x14ac:dyDescent="0.25">
      <c r="A57" s="7"/>
      <c r="H57" s="71"/>
      <c r="L57" s="72"/>
      <c r="M57" s="72"/>
      <c r="O57" s="210" t="s">
        <v>56</v>
      </c>
      <c r="P57" s="211"/>
      <c r="Q57" s="182">
        <v>1.4999999999999999E-2</v>
      </c>
      <c r="R57" s="182">
        <v>1.6E-2</v>
      </c>
      <c r="S57" s="182">
        <v>1.7000000000000001E-2</v>
      </c>
      <c r="T57" s="182">
        <v>1.8000000000000002E-2</v>
      </c>
      <c r="U57" s="182">
        <v>1.9000000000000003E-2</v>
      </c>
      <c r="V57" s="182">
        <v>2.0000000000000004E-2</v>
      </c>
    </row>
    <row r="58" spans="1:22" x14ac:dyDescent="0.25">
      <c r="A58" s="7" t="s">
        <v>60</v>
      </c>
      <c r="F58" s="66">
        <f>F109/F74</f>
        <v>6.4074074074074075E-2</v>
      </c>
      <c r="G58" s="66">
        <f>G109/G74</f>
        <v>7.8162790697674414E-2</v>
      </c>
      <c r="H58" s="73">
        <f t="shared" ref="H58:M58" si="18">H59/Days_In_Year</f>
        <v>7.8162790697674414E-2</v>
      </c>
      <c r="I58" s="74">
        <f t="shared" si="18"/>
        <v>7.8162790697674414E-2</v>
      </c>
      <c r="J58" s="74">
        <f t="shared" si="18"/>
        <v>7.8162790697674414E-2</v>
      </c>
      <c r="K58" s="74">
        <f t="shared" si="18"/>
        <v>7.8162790697674414E-2</v>
      </c>
      <c r="L58" s="75">
        <f t="shared" si="18"/>
        <v>7.8162790697674414E-2</v>
      </c>
      <c r="M58" s="75">
        <f t="shared" si="18"/>
        <v>7.8162790697674414E-2</v>
      </c>
      <c r="O58" s="210" t="s">
        <v>57</v>
      </c>
      <c r="P58" s="211"/>
      <c r="Q58" s="183">
        <v>1.2500000000000001E-2</v>
      </c>
      <c r="R58" s="182">
        <v>1.3500000000000002E-2</v>
      </c>
      <c r="S58" s="182">
        <v>1.4500000000000002E-2</v>
      </c>
      <c r="T58" s="182">
        <v>1.5500000000000003E-2</v>
      </c>
      <c r="U58" s="182">
        <v>1.6500000000000004E-2</v>
      </c>
      <c r="V58" s="182">
        <v>1.7500000000000005E-2</v>
      </c>
    </row>
    <row r="59" spans="1:22" x14ac:dyDescent="0.25">
      <c r="A59" s="7" t="s">
        <v>61</v>
      </c>
      <c r="F59" s="76">
        <f>F58*Days_In_Year</f>
        <v>23.066666666666666</v>
      </c>
      <c r="G59" s="76">
        <f>G58*Days_In_Year</f>
        <v>28.13860465116279</v>
      </c>
      <c r="H59" s="77">
        <f t="shared" ref="H59:M60" si="19">G59</f>
        <v>28.13860465116279</v>
      </c>
      <c r="I59" s="76">
        <f t="shared" si="19"/>
        <v>28.13860465116279</v>
      </c>
      <c r="J59" s="76">
        <f t="shared" si="19"/>
        <v>28.13860465116279</v>
      </c>
      <c r="K59" s="76">
        <f t="shared" si="19"/>
        <v>28.13860465116279</v>
      </c>
      <c r="L59" s="78">
        <f t="shared" si="19"/>
        <v>28.13860465116279</v>
      </c>
      <c r="M59" s="78">
        <f t="shared" si="19"/>
        <v>28.13860465116279</v>
      </c>
      <c r="O59" s="210" t="s">
        <v>58</v>
      </c>
      <c r="P59" s="211"/>
      <c r="Q59" s="183">
        <v>7.0000000000000007E-2</v>
      </c>
      <c r="R59" s="182">
        <v>7.1000000000000008E-2</v>
      </c>
      <c r="S59" s="182">
        <v>7.2000000000000008E-2</v>
      </c>
      <c r="T59" s="182">
        <v>7.3000000000000009E-2</v>
      </c>
      <c r="U59" s="182">
        <v>7.400000000000001E-2</v>
      </c>
      <c r="V59" s="182">
        <v>7.5000000000000011E-2</v>
      </c>
    </row>
    <row r="60" spans="1:22" ht="16.5" thickBot="1" x14ac:dyDescent="0.3">
      <c r="A60" s="7" t="s">
        <v>62</v>
      </c>
      <c r="F60" s="66">
        <f>F110/F75</f>
        <v>2.1165414575998669E-2</v>
      </c>
      <c r="G60" s="66">
        <f>G110/G75</f>
        <v>1.7966909296723836E-2</v>
      </c>
      <c r="H60" s="68">
        <f t="shared" si="19"/>
        <v>1.7966909296723836E-2</v>
      </c>
      <c r="I60" s="66">
        <f t="shared" si="19"/>
        <v>1.7966909296723836E-2</v>
      </c>
      <c r="J60" s="66">
        <f t="shared" si="19"/>
        <v>1.7966909296723836E-2</v>
      </c>
      <c r="K60" s="66">
        <f t="shared" si="19"/>
        <v>1.7966909296723836E-2</v>
      </c>
      <c r="L60" s="69">
        <f t="shared" si="19"/>
        <v>1.7966909296723836E-2</v>
      </c>
      <c r="M60" s="69">
        <f t="shared" si="19"/>
        <v>1.7966909296723836E-2</v>
      </c>
      <c r="O60" s="212" t="s">
        <v>59</v>
      </c>
      <c r="P60" s="213"/>
      <c r="Q60" s="184">
        <v>0.22</v>
      </c>
      <c r="R60" s="182">
        <v>0.221</v>
      </c>
      <c r="S60" s="182">
        <v>0.222</v>
      </c>
      <c r="T60" s="182">
        <v>0.223</v>
      </c>
      <c r="U60" s="182">
        <v>0.224</v>
      </c>
      <c r="V60" s="182">
        <v>0.22500000000000001</v>
      </c>
    </row>
    <row r="61" spans="1:22" ht="16.5" thickBot="1" x14ac:dyDescent="0.3">
      <c r="A61" s="7" t="s">
        <v>63</v>
      </c>
      <c r="E61" s="28"/>
      <c r="F61" s="28"/>
      <c r="G61" s="28"/>
      <c r="H61" s="79">
        <v>40</v>
      </c>
      <c r="I61" s="28">
        <v>37</v>
      </c>
      <c r="J61" s="28">
        <v>28</v>
      </c>
      <c r="K61" s="28">
        <v>13</v>
      </c>
      <c r="L61" s="80">
        <v>10</v>
      </c>
      <c r="M61" s="80">
        <v>10</v>
      </c>
      <c r="Q61" s="185"/>
      <c r="R61" s="185"/>
      <c r="S61" s="185"/>
      <c r="T61" s="185"/>
      <c r="U61" s="185"/>
      <c r="V61" s="185"/>
    </row>
    <row r="62" spans="1:22" x14ac:dyDescent="0.25">
      <c r="A62" s="7"/>
      <c r="F62" s="81"/>
      <c r="G62" s="81"/>
      <c r="H62" s="82"/>
      <c r="I62" s="81"/>
      <c r="J62" s="81"/>
      <c r="K62" s="81"/>
      <c r="L62" s="83"/>
      <c r="M62" s="83"/>
      <c r="O62" s="214" t="s">
        <v>46</v>
      </c>
      <c r="P62" s="215"/>
      <c r="Q62" s="186" t="s">
        <v>167</v>
      </c>
      <c r="R62" s="186" t="s">
        <v>168</v>
      </c>
      <c r="S62" s="186" t="s">
        <v>169</v>
      </c>
      <c r="T62" s="186" t="s">
        <v>170</v>
      </c>
      <c r="U62" s="186" t="s">
        <v>171</v>
      </c>
      <c r="V62" s="187" t="s">
        <v>172</v>
      </c>
    </row>
    <row r="63" spans="1:22" x14ac:dyDescent="0.25">
      <c r="A63" s="7" t="s">
        <v>64</v>
      </c>
      <c r="F63" s="66">
        <f>F125/F75</f>
        <v>0.22953455493028024</v>
      </c>
      <c r="G63" s="66">
        <f>G125/G75</f>
        <v>0.22117067905703344</v>
      </c>
      <c r="H63" s="73">
        <f t="shared" ref="H63:M63" si="20">H64/Days_In_Year</f>
        <v>0.22117067905703341</v>
      </c>
      <c r="I63" s="74">
        <f t="shared" si="20"/>
        <v>0.22117067905703341</v>
      </c>
      <c r="J63" s="74">
        <f t="shared" si="20"/>
        <v>0.22117067905703341</v>
      </c>
      <c r="K63" s="74">
        <f t="shared" si="20"/>
        <v>0.22117067905703341</v>
      </c>
      <c r="L63" s="75">
        <f t="shared" si="20"/>
        <v>0.22117067905703341</v>
      </c>
      <c r="M63" s="75">
        <f t="shared" si="20"/>
        <v>0.22117067905703341</v>
      </c>
      <c r="O63" s="210" t="s">
        <v>55</v>
      </c>
      <c r="P63" s="211"/>
      <c r="Q63" s="182">
        <v>2.1999999999999999E-2</v>
      </c>
      <c r="R63" s="182">
        <v>2.3E-2</v>
      </c>
      <c r="S63" s="182">
        <v>2.4E-2</v>
      </c>
      <c r="T63" s="182">
        <v>2.5000000000000001E-2</v>
      </c>
      <c r="U63" s="182">
        <v>2.6000000000000002E-2</v>
      </c>
      <c r="V63" s="182">
        <v>2.7000000000000003E-2</v>
      </c>
    </row>
    <row r="64" spans="1:22" x14ac:dyDescent="0.25">
      <c r="A64" s="7" t="s">
        <v>65</v>
      </c>
      <c r="F64" s="76">
        <f>F63*Days_In_Year</f>
        <v>82.632439774900888</v>
      </c>
      <c r="G64" s="76">
        <f>G63*Days_In_Year</f>
        <v>79.621444460532032</v>
      </c>
      <c r="H64" s="77">
        <f t="shared" ref="H64:M67" si="21">G64</f>
        <v>79.621444460532032</v>
      </c>
      <c r="I64" s="76">
        <f t="shared" si="21"/>
        <v>79.621444460532032</v>
      </c>
      <c r="J64" s="76">
        <f t="shared" si="21"/>
        <v>79.621444460532032</v>
      </c>
      <c r="K64" s="76">
        <f t="shared" si="21"/>
        <v>79.621444460532032</v>
      </c>
      <c r="L64" s="78">
        <f t="shared" si="21"/>
        <v>79.621444460532032</v>
      </c>
      <c r="M64" s="78">
        <f t="shared" si="21"/>
        <v>79.621444460532032</v>
      </c>
      <c r="O64" s="210" t="s">
        <v>56</v>
      </c>
      <c r="P64" s="211"/>
      <c r="Q64" s="182">
        <v>1.4E-2</v>
      </c>
      <c r="R64" s="182">
        <v>1.4999999999999999E-2</v>
      </c>
      <c r="S64" s="182">
        <v>1.6E-2</v>
      </c>
      <c r="T64" s="182">
        <v>1.7000000000000001E-2</v>
      </c>
      <c r="U64" s="182">
        <v>1.8000000000000002E-2</v>
      </c>
      <c r="V64" s="182">
        <v>1.9000000000000003E-2</v>
      </c>
    </row>
    <row r="65" spans="1:22" x14ac:dyDescent="0.25">
      <c r="A65" s="7" t="s">
        <v>66</v>
      </c>
      <c r="F65" s="66">
        <f>F126/F80</f>
        <v>1.0294069861900894</v>
      </c>
      <c r="G65" s="66">
        <f>G126/G80</f>
        <v>0.87611827141774068</v>
      </c>
      <c r="H65" s="68">
        <f t="shared" si="21"/>
        <v>0.87611827141774068</v>
      </c>
      <c r="I65" s="66">
        <f t="shared" si="21"/>
        <v>0.87611827141774068</v>
      </c>
      <c r="J65" s="66">
        <f t="shared" si="21"/>
        <v>0.87611827141774068</v>
      </c>
      <c r="K65" s="66">
        <f t="shared" si="21"/>
        <v>0.87611827141774068</v>
      </c>
      <c r="L65" s="69">
        <f t="shared" si="21"/>
        <v>0.87611827141774068</v>
      </c>
      <c r="M65" s="69">
        <f t="shared" si="21"/>
        <v>0.87611827141774068</v>
      </c>
      <c r="O65" s="210" t="s">
        <v>57</v>
      </c>
      <c r="P65" s="211"/>
      <c r="Q65" s="183">
        <v>1.4E-2</v>
      </c>
      <c r="R65" s="182">
        <v>1.4999999999999999E-2</v>
      </c>
      <c r="S65" s="182">
        <v>1.6E-2</v>
      </c>
      <c r="T65" s="182">
        <v>1.7000000000000001E-2</v>
      </c>
      <c r="U65" s="182">
        <v>1.8000000000000002E-2</v>
      </c>
      <c r="V65" s="182">
        <v>1.9000000000000003E-2</v>
      </c>
    </row>
    <row r="66" spans="1:22" x14ac:dyDescent="0.25">
      <c r="A66" s="7" t="s">
        <v>67</v>
      </c>
      <c r="F66" s="66">
        <f>F127/F74</f>
        <v>4.2777777777777776E-2</v>
      </c>
      <c r="G66" s="66">
        <f>G127/G74</f>
        <v>4.7744186046511629E-2</v>
      </c>
      <c r="H66" s="68">
        <f t="shared" si="21"/>
        <v>4.7744186046511629E-2</v>
      </c>
      <c r="I66" s="66">
        <f t="shared" si="21"/>
        <v>4.7744186046511629E-2</v>
      </c>
      <c r="J66" s="66">
        <f t="shared" si="21"/>
        <v>4.7744186046511629E-2</v>
      </c>
      <c r="K66" s="66">
        <f t="shared" si="21"/>
        <v>4.7744186046511629E-2</v>
      </c>
      <c r="L66" s="69">
        <f t="shared" si="21"/>
        <v>4.7744186046511629E-2</v>
      </c>
      <c r="M66" s="69">
        <f t="shared" si="21"/>
        <v>4.7744186046511629E-2</v>
      </c>
      <c r="O66" s="210" t="s">
        <v>58</v>
      </c>
      <c r="P66" s="211"/>
      <c r="Q66" s="183">
        <v>7.4999999999999997E-2</v>
      </c>
      <c r="R66" s="182">
        <v>7.5999999999999998E-2</v>
      </c>
      <c r="S66" s="182">
        <v>7.6999999999999999E-2</v>
      </c>
      <c r="T66" s="182">
        <v>7.8E-2</v>
      </c>
      <c r="U66" s="182">
        <v>7.9000000000000001E-2</v>
      </c>
      <c r="V66" s="182">
        <v>0.08</v>
      </c>
    </row>
    <row r="67" spans="1:22" ht="16.5" thickBot="1" x14ac:dyDescent="0.3">
      <c r="A67" s="7" t="s">
        <v>68</v>
      </c>
      <c r="F67" s="66">
        <f>F131/F74</f>
        <v>2.0317460317460317E-2</v>
      </c>
      <c r="G67" s="66">
        <f>G131/G74</f>
        <v>1.9837209302325583E-2</v>
      </c>
      <c r="H67" s="68">
        <f t="shared" si="21"/>
        <v>1.9837209302325583E-2</v>
      </c>
      <c r="I67" s="66">
        <f t="shared" si="21"/>
        <v>1.9837209302325583E-2</v>
      </c>
      <c r="J67" s="66">
        <f t="shared" si="21"/>
        <v>1.9837209302325583E-2</v>
      </c>
      <c r="K67" s="66">
        <f t="shared" si="21"/>
        <v>1.9837209302325583E-2</v>
      </c>
      <c r="L67" s="69">
        <f t="shared" si="21"/>
        <v>1.9837209302325583E-2</v>
      </c>
      <c r="M67" s="69">
        <f t="shared" si="21"/>
        <v>1.9837209302325583E-2</v>
      </c>
      <c r="O67" s="212" t="s">
        <v>59</v>
      </c>
      <c r="P67" s="213"/>
      <c r="Q67" s="184">
        <v>0.24</v>
      </c>
      <c r="R67" s="182">
        <v>0.24099999999999999</v>
      </c>
      <c r="S67" s="182">
        <v>0.24199999999999999</v>
      </c>
      <c r="T67" s="182">
        <v>0.24299999999999999</v>
      </c>
      <c r="U67" s="182">
        <v>0.24399999999999999</v>
      </c>
      <c r="V67" s="182">
        <v>0.245</v>
      </c>
    </row>
    <row r="68" spans="1:22" ht="16.5" thickBot="1" x14ac:dyDescent="0.3">
      <c r="A68" s="7"/>
      <c r="H68" s="71"/>
      <c r="L68" s="72"/>
      <c r="M68" s="72"/>
    </row>
    <row r="69" spans="1:22" ht="16.5" thickBot="1" x14ac:dyDescent="0.3">
      <c r="A69" s="84" t="s">
        <v>69</v>
      </c>
      <c r="B69" s="54"/>
      <c r="C69" s="54"/>
      <c r="D69" s="54"/>
      <c r="E69" s="85">
        <f>-E171/E74</f>
        <v>2.9518072289156625E-2</v>
      </c>
      <c r="F69" s="85">
        <f>-F171/F74</f>
        <v>2.8862433862433864E-2</v>
      </c>
      <c r="G69" s="85">
        <f>-G171/G74</f>
        <v>2.6604651162790698E-2</v>
      </c>
      <c r="H69" s="86">
        <f t="shared" ref="H69:M69" si="22">G69</f>
        <v>2.6604651162790698E-2</v>
      </c>
      <c r="I69" s="87">
        <f t="shared" si="22"/>
        <v>2.6604651162790698E-2</v>
      </c>
      <c r="J69" s="87">
        <f t="shared" si="22"/>
        <v>2.6604651162790698E-2</v>
      </c>
      <c r="K69" s="87">
        <f t="shared" si="22"/>
        <v>2.6604651162790698E-2</v>
      </c>
      <c r="L69" s="88">
        <f t="shared" si="22"/>
        <v>2.6604651162790698E-2</v>
      </c>
      <c r="M69" s="88">
        <f t="shared" si="22"/>
        <v>2.6604651162790698E-2</v>
      </c>
      <c r="O69" s="214" t="s">
        <v>166</v>
      </c>
      <c r="P69" s="215"/>
      <c r="Q69" s="177" t="s">
        <v>167</v>
      </c>
      <c r="R69" s="177" t="s">
        <v>168</v>
      </c>
      <c r="S69" s="177" t="s">
        <v>169</v>
      </c>
      <c r="T69" s="177" t="s">
        <v>170</v>
      </c>
      <c r="U69" s="177" t="s">
        <v>171</v>
      </c>
      <c r="V69" s="178" t="s">
        <v>172</v>
      </c>
    </row>
    <row r="70" spans="1:22" x14ac:dyDescent="0.25">
      <c r="D70" s="156" t="s">
        <v>155</v>
      </c>
      <c r="E70" s="156" t="s">
        <v>156</v>
      </c>
      <c r="F70" s="156" t="s">
        <v>157</v>
      </c>
      <c r="G70" s="156" t="s">
        <v>158</v>
      </c>
      <c r="H70" s="156" t="s">
        <v>159</v>
      </c>
      <c r="I70" s="156" t="s">
        <v>160</v>
      </c>
      <c r="J70" s="156" t="s">
        <v>161</v>
      </c>
      <c r="K70" s="156" t="s">
        <v>162</v>
      </c>
      <c r="L70" s="156" t="s">
        <v>163</v>
      </c>
      <c r="M70" s="156" t="s">
        <v>163</v>
      </c>
      <c r="O70" s="210" t="s">
        <v>55</v>
      </c>
      <c r="P70" s="211"/>
      <c r="Q70" s="179">
        <v>2.3E-2</v>
      </c>
      <c r="R70" s="179">
        <v>2.4E-2</v>
      </c>
      <c r="S70" s="179">
        <v>2.5000000000000001E-2</v>
      </c>
      <c r="T70" s="179">
        <v>2.6000000000000002E-2</v>
      </c>
      <c r="U70" s="179">
        <v>2.7000000000000003E-2</v>
      </c>
      <c r="V70" s="179">
        <v>2.8000000000000004E-2</v>
      </c>
    </row>
    <row r="71" spans="1:22" x14ac:dyDescent="0.25">
      <c r="A71" s="2" t="s">
        <v>70</v>
      </c>
      <c r="B71" s="3"/>
      <c r="C71" s="3"/>
      <c r="D71" s="3"/>
      <c r="E71" s="3"/>
      <c r="F71" s="3"/>
      <c r="G71" s="4"/>
      <c r="H71" s="4"/>
      <c r="I71" s="4"/>
      <c r="J71" s="4"/>
      <c r="K71" s="4"/>
      <c r="L71" s="5"/>
      <c r="M71" s="5"/>
      <c r="O71" s="210" t="s">
        <v>56</v>
      </c>
      <c r="P71" s="211"/>
      <c r="Q71" s="179">
        <v>1.2999999999999999E-2</v>
      </c>
      <c r="R71" s="179">
        <v>1.3999999999999999E-2</v>
      </c>
      <c r="S71" s="179">
        <v>1.4999999999999999E-2</v>
      </c>
      <c r="T71" s="179">
        <v>1.6E-2</v>
      </c>
      <c r="U71" s="179">
        <v>1.7000000000000001E-2</v>
      </c>
      <c r="V71" s="179">
        <v>1.8000000000000002E-2</v>
      </c>
    </row>
    <row r="72" spans="1:22" x14ac:dyDescent="0.25">
      <c r="A72" s="7"/>
      <c r="E72" s="39" t="str">
        <f t="shared" ref="E72:M72" si="23">E$23</f>
        <v>FY 2017</v>
      </c>
      <c r="F72" s="39" t="str">
        <f t="shared" si="23"/>
        <v>FY 2018</v>
      </c>
      <c r="G72" s="40" t="str">
        <f t="shared" si="23"/>
        <v>FY 2019</v>
      </c>
      <c r="H72" s="39" t="str">
        <f t="shared" si="23"/>
        <v>FY 2020E</v>
      </c>
      <c r="I72" s="39" t="str">
        <f t="shared" si="23"/>
        <v>FY 2021E</v>
      </c>
      <c r="J72" s="39" t="str">
        <f t="shared" si="23"/>
        <v>FY 2022E</v>
      </c>
      <c r="K72" s="39" t="str">
        <f t="shared" si="23"/>
        <v>FY 2023E</v>
      </c>
      <c r="L72" s="40" t="str">
        <f t="shared" si="23"/>
        <v>FY 2024E</v>
      </c>
      <c r="M72" s="40" t="str">
        <f t="shared" si="23"/>
        <v>FY 2025E</v>
      </c>
      <c r="O72" s="210" t="s">
        <v>57</v>
      </c>
      <c r="P72" s="211"/>
      <c r="Q72" s="180">
        <v>1.4999999999999999E-2</v>
      </c>
      <c r="R72" s="179">
        <v>1.6E-2</v>
      </c>
      <c r="S72" s="179">
        <v>1.7000000000000001E-2</v>
      </c>
      <c r="T72" s="179">
        <v>1.8000000000000002E-2</v>
      </c>
      <c r="U72" s="179">
        <v>1.9000000000000003E-2</v>
      </c>
      <c r="V72" s="179">
        <v>2.0000000000000004E-2</v>
      </c>
    </row>
    <row r="73" spans="1:22" x14ac:dyDescent="0.25">
      <c r="A73" s="7"/>
      <c r="G73" s="89"/>
      <c r="L73" s="89"/>
      <c r="M73" s="89"/>
      <c r="O73" s="210" t="s">
        <v>58</v>
      </c>
      <c r="P73" s="211"/>
      <c r="Q73" s="180">
        <v>0.08</v>
      </c>
      <c r="R73" s="179">
        <v>8.1000000000000003E-2</v>
      </c>
      <c r="S73" s="179">
        <v>8.2000000000000003E-2</v>
      </c>
      <c r="T73" s="179">
        <v>8.3000000000000004E-2</v>
      </c>
      <c r="U73" s="179">
        <v>8.4000000000000005E-2</v>
      </c>
      <c r="V73" s="179">
        <v>8.5000000000000006E-2</v>
      </c>
    </row>
    <row r="74" spans="1:22" ht="16.5" thickBot="1" x14ac:dyDescent="0.3">
      <c r="A74" s="9" t="s">
        <v>71</v>
      </c>
      <c r="E74" s="90">
        <v>24900</v>
      </c>
      <c r="F74" s="90">
        <v>37800</v>
      </c>
      <c r="G74" s="91">
        <v>43000</v>
      </c>
      <c r="H74" s="92">
        <f>G74*(1+H47)</f>
        <v>51600</v>
      </c>
      <c r="I74" s="92">
        <f t="shared" ref="I74:M74" si="24">H74*(1+I47)</f>
        <v>62436</v>
      </c>
      <c r="J74" s="92">
        <f t="shared" si="24"/>
        <v>76171.92</v>
      </c>
      <c r="K74" s="92">
        <f t="shared" si="24"/>
        <v>91406.303999999989</v>
      </c>
      <c r="L74" s="93">
        <f t="shared" si="24"/>
        <v>111515.69087999998</v>
      </c>
      <c r="M74" s="93">
        <f t="shared" si="24"/>
        <v>135937.62718272</v>
      </c>
      <c r="O74" s="212" t="s">
        <v>59</v>
      </c>
      <c r="P74" s="213"/>
      <c r="Q74" s="181">
        <v>0.25</v>
      </c>
      <c r="R74" s="179">
        <v>0.251</v>
      </c>
      <c r="S74" s="179">
        <v>0.252</v>
      </c>
      <c r="T74" s="179">
        <v>0.253</v>
      </c>
      <c r="U74" s="179">
        <v>0.254</v>
      </c>
      <c r="V74" s="179">
        <v>0.255</v>
      </c>
    </row>
    <row r="75" spans="1:22" x14ac:dyDescent="0.25">
      <c r="A75" s="7" t="s">
        <v>72</v>
      </c>
      <c r="E75" s="19">
        <f>16426-35-E$82/3</f>
        <v>16282</v>
      </c>
      <c r="F75" s="19">
        <f>24294-80-F$82/3</f>
        <v>24048.666666666668</v>
      </c>
      <c r="G75" s="94">
        <f>25683-114-G$82/3</f>
        <v>25324.333333333332</v>
      </c>
      <c r="H75" s="19">
        <f t="shared" ref="H75:M75" si="25">H48*H74</f>
        <v>23736</v>
      </c>
      <c r="I75" s="19">
        <f t="shared" si="25"/>
        <v>28408.38</v>
      </c>
      <c r="J75" s="19">
        <f t="shared" si="25"/>
        <v>34429.707840000003</v>
      </c>
      <c r="K75" s="19">
        <f t="shared" si="25"/>
        <v>41132.836799999997</v>
      </c>
      <c r="L75" s="94">
        <f t="shared" si="25"/>
        <v>49624.48244159999</v>
      </c>
      <c r="M75" s="94">
        <f t="shared" si="25"/>
        <v>60070.837452043968</v>
      </c>
    </row>
    <row r="76" spans="1:22" x14ac:dyDescent="0.25">
      <c r="A76" s="95" t="s">
        <v>73</v>
      </c>
      <c r="E76" s="96">
        <f t="shared" ref="E76:L76" si="26">E74-E75</f>
        <v>8618</v>
      </c>
      <c r="F76" s="96">
        <f t="shared" si="26"/>
        <v>13751.333333333332</v>
      </c>
      <c r="G76" s="97">
        <f t="shared" si="26"/>
        <v>17675.666666666668</v>
      </c>
      <c r="H76" s="98">
        <f t="shared" si="26"/>
        <v>27864</v>
      </c>
      <c r="I76" s="96">
        <f t="shared" si="26"/>
        <v>34027.619999999995</v>
      </c>
      <c r="J76" s="96">
        <f t="shared" si="26"/>
        <v>41742.212159999995</v>
      </c>
      <c r="K76" s="96">
        <f t="shared" si="26"/>
        <v>50273.467199999992</v>
      </c>
      <c r="L76" s="97">
        <f t="shared" si="26"/>
        <v>61891.20843839999</v>
      </c>
      <c r="M76" s="97">
        <f t="shared" ref="M76" si="27">M74-M75</f>
        <v>75866.789730676028</v>
      </c>
    </row>
    <row r="77" spans="1:22" x14ac:dyDescent="0.25">
      <c r="A77" s="7" t="s">
        <v>74</v>
      </c>
      <c r="G77" s="22"/>
      <c r="L77" s="22"/>
      <c r="M77" s="22"/>
    </row>
    <row r="78" spans="1:22" x14ac:dyDescent="0.25">
      <c r="A78" s="25" t="s">
        <v>75</v>
      </c>
      <c r="E78" s="19">
        <f>782-77-E$82/3</f>
        <v>596</v>
      </c>
      <c r="F78" s="19">
        <f>1109-185-F$82/3</f>
        <v>758.66666666666663</v>
      </c>
      <c r="G78" s="94">
        <f>1333-258-G$82/3</f>
        <v>830.33333333333337</v>
      </c>
      <c r="H78" s="19">
        <f t="shared" ref="H78:M78" si="28">H49*H74</f>
        <v>774</v>
      </c>
      <c r="I78" s="19">
        <f t="shared" si="28"/>
        <v>936.54</v>
      </c>
      <c r="J78" s="19">
        <f t="shared" si="28"/>
        <v>952.149</v>
      </c>
      <c r="K78" s="19">
        <f t="shared" si="28"/>
        <v>1142.5788</v>
      </c>
      <c r="L78" s="94">
        <f t="shared" si="28"/>
        <v>1338.1882905599998</v>
      </c>
      <c r="M78" s="94">
        <f t="shared" si="28"/>
        <v>1474.923254932512</v>
      </c>
    </row>
    <row r="79" spans="1:22" x14ac:dyDescent="0.25">
      <c r="A79" s="25" t="s">
        <v>76</v>
      </c>
      <c r="E79" s="19">
        <f>2963-130-E$82/3</f>
        <v>2724</v>
      </c>
      <c r="F79" s="19">
        <f>3761-251-F$82/3</f>
        <v>3344.6666666666665</v>
      </c>
      <c r="G79" s="94">
        <f>4149-338-G$82/3</f>
        <v>3566.3333333333335</v>
      </c>
      <c r="H79" s="19">
        <f t="shared" ref="H79:M79" si="29">H50*H74</f>
        <v>3096</v>
      </c>
      <c r="I79" s="19">
        <f t="shared" si="29"/>
        <v>3808.596</v>
      </c>
      <c r="J79" s="19">
        <f t="shared" si="29"/>
        <v>4684.5730800000001</v>
      </c>
      <c r="K79" s="19">
        <f t="shared" si="29"/>
        <v>5667.1908479999993</v>
      </c>
      <c r="L79" s="94">
        <f t="shared" si="29"/>
        <v>6969.7306799999988</v>
      </c>
      <c r="M79" s="94">
        <f t="shared" si="29"/>
        <v>8591.2580379479041</v>
      </c>
    </row>
    <row r="80" spans="1:22" x14ac:dyDescent="0.25">
      <c r="A80" s="99" t="s">
        <v>77</v>
      </c>
      <c r="B80" s="33"/>
      <c r="C80" s="33"/>
      <c r="D80" s="33"/>
      <c r="E80" s="32">
        <f t="shared" ref="E80:K80" si="30">SUM(E78:E79)</f>
        <v>3320</v>
      </c>
      <c r="F80" s="32">
        <f t="shared" si="30"/>
        <v>4103.333333333333</v>
      </c>
      <c r="G80" s="100">
        <f t="shared" si="30"/>
        <v>4396.666666666667</v>
      </c>
      <c r="H80" s="32">
        <f>SUM(H78:H79)</f>
        <v>3870</v>
      </c>
      <c r="I80" s="32">
        <f t="shared" si="30"/>
        <v>4745.1360000000004</v>
      </c>
      <c r="J80" s="32">
        <f t="shared" si="30"/>
        <v>5636.7220800000005</v>
      </c>
      <c r="K80" s="32">
        <f t="shared" si="30"/>
        <v>6809.7696479999995</v>
      </c>
      <c r="L80" s="100">
        <f>SUM(L78:L79)</f>
        <v>8307.9189705599983</v>
      </c>
      <c r="M80" s="100">
        <f>SUM(M78:M79)</f>
        <v>10066.181292880416</v>
      </c>
    </row>
    <row r="81" spans="1:13" x14ac:dyDescent="0.25">
      <c r="A81" s="101"/>
      <c r="E81" s="102"/>
      <c r="F81" s="102"/>
      <c r="G81" s="103"/>
      <c r="H81" s="102"/>
      <c r="I81" s="102"/>
      <c r="J81" s="102"/>
      <c r="K81" s="102"/>
      <c r="L81" s="103"/>
      <c r="M81" s="103"/>
    </row>
    <row r="82" spans="1:13" x14ac:dyDescent="0.25">
      <c r="A82" s="25" t="s">
        <v>78</v>
      </c>
      <c r="E82" s="28">
        <v>327</v>
      </c>
      <c r="F82" s="28">
        <v>496</v>
      </c>
      <c r="G82" s="12">
        <v>734</v>
      </c>
      <c r="H82" s="19">
        <f t="shared" ref="H82:M82" si="31">H53*H74</f>
        <v>722.4</v>
      </c>
      <c r="I82" s="19">
        <f t="shared" si="31"/>
        <v>936.54</v>
      </c>
      <c r="J82" s="19">
        <f t="shared" si="31"/>
        <v>1218.75072</v>
      </c>
      <c r="K82" s="19">
        <f t="shared" si="31"/>
        <v>1553.907168</v>
      </c>
      <c r="L82" s="94">
        <f t="shared" si="31"/>
        <v>2007.2824358399998</v>
      </c>
      <c r="M82" s="94">
        <f t="shared" si="31"/>
        <v>2582.8149164716801</v>
      </c>
    </row>
    <row r="83" spans="1:13" x14ac:dyDescent="0.25">
      <c r="A83" s="25" t="s">
        <v>63</v>
      </c>
      <c r="E83" s="28">
        <v>0</v>
      </c>
      <c r="F83" s="28">
        <v>0</v>
      </c>
      <c r="G83" s="12">
        <v>0</v>
      </c>
      <c r="H83" s="19">
        <f t="shared" ref="H83:M83" si="32">H61</f>
        <v>40</v>
      </c>
      <c r="I83" s="19">
        <f t="shared" si="32"/>
        <v>37</v>
      </c>
      <c r="J83" s="19">
        <f t="shared" si="32"/>
        <v>28</v>
      </c>
      <c r="K83" s="19">
        <f t="shared" si="32"/>
        <v>13</v>
      </c>
      <c r="L83" s="94">
        <f t="shared" si="32"/>
        <v>10</v>
      </c>
      <c r="M83" s="94">
        <f t="shared" si="32"/>
        <v>10</v>
      </c>
    </row>
    <row r="84" spans="1:13" x14ac:dyDescent="0.25">
      <c r="A84" s="25" t="s">
        <v>79</v>
      </c>
      <c r="E84" s="28">
        <v>242</v>
      </c>
      <c r="F84" s="28">
        <v>516</v>
      </c>
      <c r="G84" s="12">
        <v>710</v>
      </c>
      <c r="H84" s="19">
        <f t="shared" ref="H84:M84" si="33">H52*H74</f>
        <v>1135.2</v>
      </c>
      <c r="I84" s="19">
        <f t="shared" si="33"/>
        <v>1436.028</v>
      </c>
      <c r="J84" s="19">
        <f t="shared" si="33"/>
        <v>1828.12608</v>
      </c>
      <c r="K84" s="19">
        <f t="shared" si="33"/>
        <v>2285.1576</v>
      </c>
      <c r="L84" s="94">
        <f t="shared" si="33"/>
        <v>2899.4079628799996</v>
      </c>
      <c r="M84" s="94">
        <f t="shared" si="33"/>
        <v>3670.3159339334402</v>
      </c>
    </row>
    <row r="85" spans="1:13" x14ac:dyDescent="0.25">
      <c r="A85" s="101"/>
      <c r="E85" s="102"/>
      <c r="F85" s="102"/>
      <c r="G85" s="103"/>
      <c r="H85" s="102"/>
      <c r="I85" s="102"/>
      <c r="J85" s="102"/>
      <c r="K85" s="102"/>
      <c r="L85" s="103"/>
      <c r="M85" s="103"/>
    </row>
    <row r="86" spans="1:13" x14ac:dyDescent="0.25">
      <c r="A86" s="101" t="s">
        <v>80</v>
      </c>
      <c r="E86" s="96">
        <f t="shared" ref="E86:K86" si="34">E76-E80-E82-E83-E84</f>
        <v>4729</v>
      </c>
      <c r="F86" s="96">
        <f t="shared" si="34"/>
        <v>8636</v>
      </c>
      <c r="G86" s="97">
        <f t="shared" si="34"/>
        <v>11835</v>
      </c>
      <c r="H86" s="98">
        <f t="shared" si="34"/>
        <v>22096.399999999998</v>
      </c>
      <c r="I86" s="96">
        <f t="shared" si="34"/>
        <v>26872.915999999997</v>
      </c>
      <c r="J86" s="96">
        <f t="shared" si="34"/>
        <v>33030.61327999999</v>
      </c>
      <c r="K86" s="96">
        <f t="shared" si="34"/>
        <v>39611.632783999994</v>
      </c>
      <c r="L86" s="97">
        <f>L76-L80-L82-L83-L84</f>
        <v>48666.599069119984</v>
      </c>
      <c r="M86" s="97">
        <f>M76-M80-M82-M83-M84</f>
        <v>59537.477587390495</v>
      </c>
    </row>
    <row r="87" spans="1:13" x14ac:dyDescent="0.25">
      <c r="A87" s="25" t="s">
        <v>81</v>
      </c>
      <c r="E87" s="28">
        <v>647</v>
      </c>
      <c r="F87" s="28">
        <v>653</v>
      </c>
      <c r="G87" s="12">
        <v>407</v>
      </c>
      <c r="H87" s="26">
        <v>424.2536377320622</v>
      </c>
      <c r="I87" s="26">
        <v>567.64936072666785</v>
      </c>
      <c r="J87" s="26">
        <v>1443.0609523951889</v>
      </c>
      <c r="K87" s="26">
        <v>1779.7118389722609</v>
      </c>
      <c r="L87" s="104">
        <v>3222.902302564717</v>
      </c>
      <c r="M87" s="104">
        <v>3222.902302564717</v>
      </c>
    </row>
    <row r="88" spans="1:13" x14ac:dyDescent="0.25">
      <c r="A88" s="25" t="s">
        <v>82</v>
      </c>
      <c r="E88" s="28">
        <v>0</v>
      </c>
      <c r="F88" s="28">
        <v>0</v>
      </c>
      <c r="G88" s="12">
        <v>0</v>
      </c>
      <c r="H88" s="26">
        <f t="shared" ref="H88:M88" si="35">-AVERAGE(G132,H132)*H55</f>
        <v>0</v>
      </c>
      <c r="I88" s="26">
        <f t="shared" si="35"/>
        <v>0</v>
      </c>
      <c r="J88" s="26">
        <f t="shared" si="35"/>
        <v>0</v>
      </c>
      <c r="K88" s="26">
        <f t="shared" si="35"/>
        <v>0</v>
      </c>
      <c r="L88" s="104">
        <f t="shared" si="35"/>
        <v>0</v>
      </c>
      <c r="M88" s="104">
        <f t="shared" si="35"/>
        <v>0</v>
      </c>
    </row>
    <row r="89" spans="1:13" x14ac:dyDescent="0.25">
      <c r="A89" s="25" t="s">
        <v>83</v>
      </c>
      <c r="E89" s="28">
        <v>-48</v>
      </c>
      <c r="F89" s="28">
        <v>-33</v>
      </c>
      <c r="G89" s="12">
        <v>-81</v>
      </c>
      <c r="H89" s="28">
        <v>0</v>
      </c>
      <c r="I89" s="19">
        <f>H89</f>
        <v>0</v>
      </c>
      <c r="J89" s="19">
        <f>I89</f>
        <v>0</v>
      </c>
      <c r="K89" s="19">
        <f>J89</f>
        <v>0</v>
      </c>
      <c r="L89" s="94">
        <f>K89</f>
        <v>0</v>
      </c>
      <c r="M89" s="94">
        <f>L89</f>
        <v>0</v>
      </c>
    </row>
    <row r="90" spans="1:13" x14ac:dyDescent="0.25">
      <c r="A90" s="99" t="s">
        <v>84</v>
      </c>
      <c r="B90" s="33"/>
      <c r="C90" s="33"/>
      <c r="D90" s="33"/>
      <c r="E90" s="32">
        <f t="shared" ref="E90:L90" si="36">SUM(E86:E89)</f>
        <v>5328</v>
      </c>
      <c r="F90" s="32">
        <f t="shared" si="36"/>
        <v>9256</v>
      </c>
      <c r="G90" s="100">
        <f t="shared" si="36"/>
        <v>12161</v>
      </c>
      <c r="H90" s="32">
        <f>SUM(H86:H89)</f>
        <v>22520.653637732059</v>
      </c>
      <c r="I90" s="32">
        <f t="shared" si="36"/>
        <v>27440.565360726665</v>
      </c>
      <c r="J90" s="32">
        <f t="shared" si="36"/>
        <v>34473.674232395177</v>
      </c>
      <c r="K90" s="32">
        <f t="shared" si="36"/>
        <v>41391.344622972254</v>
      </c>
      <c r="L90" s="100">
        <f t="shared" si="36"/>
        <v>51889.501371684702</v>
      </c>
      <c r="M90" s="100">
        <f t="shared" ref="M90" si="37">SUM(M86:M89)</f>
        <v>62760.379889955213</v>
      </c>
    </row>
    <row r="91" spans="1:13" x14ac:dyDescent="0.25">
      <c r="A91" s="105" t="s">
        <v>85</v>
      </c>
      <c r="E91" s="28">
        <v>1511</v>
      </c>
      <c r="F91" s="28">
        <v>2828</v>
      </c>
      <c r="G91" s="12">
        <v>3831</v>
      </c>
      <c r="H91" s="26">
        <f t="shared" ref="H91:M91" si="38">H90*H56</f>
        <v>5404.9568730556939</v>
      </c>
      <c r="I91" s="26">
        <f t="shared" si="38"/>
        <v>6613.1762519351259</v>
      </c>
      <c r="J91" s="26">
        <f t="shared" si="38"/>
        <v>8342.6291642396318</v>
      </c>
      <c r="K91" s="26">
        <f t="shared" si="38"/>
        <v>10058.096743382257</v>
      </c>
      <c r="L91" s="104">
        <f t="shared" si="38"/>
        <v>12661.038334691068</v>
      </c>
      <c r="M91" s="104">
        <f t="shared" si="38"/>
        <v>15376.293073039027</v>
      </c>
    </row>
    <row r="92" spans="1:13" x14ac:dyDescent="0.25">
      <c r="A92" s="25"/>
      <c r="G92" s="22"/>
      <c r="L92" s="22"/>
      <c r="M92" s="22"/>
    </row>
    <row r="93" spans="1:13" x14ac:dyDescent="0.25">
      <c r="A93" s="101" t="s">
        <v>86</v>
      </c>
      <c r="E93" s="96">
        <f t="shared" ref="E93:L93" si="39">E90-E91</f>
        <v>3817</v>
      </c>
      <c r="F93" s="96">
        <f t="shared" si="39"/>
        <v>6428</v>
      </c>
      <c r="G93" s="97">
        <f t="shared" si="39"/>
        <v>8330</v>
      </c>
      <c r="H93" s="96">
        <f>H90-H91</f>
        <v>17115.696764676366</v>
      </c>
      <c r="I93" s="96">
        <f t="shared" si="39"/>
        <v>20827.38910879154</v>
      </c>
      <c r="J93" s="96">
        <f t="shared" si="39"/>
        <v>26131.045068155545</v>
      </c>
      <c r="K93" s="96">
        <f t="shared" si="39"/>
        <v>31333.247879589995</v>
      </c>
      <c r="L93" s="96">
        <f t="shared" si="39"/>
        <v>39228.463036993635</v>
      </c>
      <c r="M93" s="96">
        <f t="shared" ref="M93" si="40">M90-M91</f>
        <v>47384.086816916184</v>
      </c>
    </row>
    <row r="94" spans="1:13" x14ac:dyDescent="0.25">
      <c r="A94" s="25"/>
      <c r="G94" s="22"/>
      <c r="L94" s="22"/>
      <c r="M94" s="22"/>
    </row>
    <row r="95" spans="1:13" x14ac:dyDescent="0.25">
      <c r="A95" s="101" t="s">
        <v>87</v>
      </c>
      <c r="E95" s="106">
        <f t="shared" ref="E95:L95" si="41">E93*Units/E96</f>
        <v>4.2921784970515873</v>
      </c>
      <c r="F95" s="106">
        <f t="shared" si="41"/>
        <v>7.1252877882454921</v>
      </c>
      <c r="G95" s="107">
        <f t="shared" si="41"/>
        <v>9.1840728551661783</v>
      </c>
      <c r="H95" s="106">
        <f>H93*Units/H96</f>
        <v>18.870564952427348</v>
      </c>
      <c r="I95" s="106">
        <f t="shared" si="41"/>
        <v>22.962816201444912</v>
      </c>
      <c r="J95" s="106">
        <f t="shared" si="41"/>
        <v>28.810254704390324</v>
      </c>
      <c r="K95" s="106">
        <f t="shared" si="41"/>
        <v>34.545838093053504</v>
      </c>
      <c r="L95" s="107">
        <f t="shared" si="41"/>
        <v>43.250547722442143</v>
      </c>
      <c r="M95" s="107">
        <f t="shared" ref="M95" si="42">M93*Units/M96</f>
        <v>52.242365606491894</v>
      </c>
    </row>
    <row r="96" spans="1:13" x14ac:dyDescent="0.25">
      <c r="A96" s="105" t="s">
        <v>19</v>
      </c>
      <c r="E96" s="17">
        <v>889292</v>
      </c>
      <c r="F96" s="17">
        <v>902139</v>
      </c>
      <c r="G96" s="108">
        <v>907005</v>
      </c>
      <c r="H96" s="21">
        <f t="shared" ref="H96:M96" si="43">G96</f>
        <v>907005</v>
      </c>
      <c r="I96" s="21">
        <f t="shared" si="43"/>
        <v>907005</v>
      </c>
      <c r="J96" s="21">
        <f t="shared" si="43"/>
        <v>907005</v>
      </c>
      <c r="K96" s="21">
        <f t="shared" si="43"/>
        <v>907005</v>
      </c>
      <c r="L96" s="109">
        <f t="shared" si="43"/>
        <v>907005</v>
      </c>
      <c r="M96" s="109">
        <f t="shared" si="43"/>
        <v>907005</v>
      </c>
    </row>
    <row r="97" spans="1:13" x14ac:dyDescent="0.25">
      <c r="A97" s="105"/>
      <c r="E97" s="17"/>
      <c r="F97" s="17"/>
      <c r="G97" s="108"/>
      <c r="H97" s="21"/>
      <c r="I97" s="21"/>
      <c r="J97" s="21"/>
      <c r="K97" s="21"/>
      <c r="L97" s="109"/>
      <c r="M97" s="109"/>
    </row>
    <row r="98" spans="1:13" x14ac:dyDescent="0.25">
      <c r="A98" s="95" t="s">
        <v>88</v>
      </c>
      <c r="E98" s="96">
        <f t="shared" ref="E98:L98" si="44">E86+E84</f>
        <v>4971</v>
      </c>
      <c r="F98" s="96">
        <f t="shared" si="44"/>
        <v>9152</v>
      </c>
      <c r="G98" s="97">
        <f t="shared" si="44"/>
        <v>12545</v>
      </c>
      <c r="H98" s="98">
        <f t="shared" si="44"/>
        <v>23231.599999999999</v>
      </c>
      <c r="I98" s="96">
        <f t="shared" si="44"/>
        <v>28308.943999999996</v>
      </c>
      <c r="J98" s="96">
        <f t="shared" si="44"/>
        <v>34858.739359999992</v>
      </c>
      <c r="K98" s="96">
        <f t="shared" si="44"/>
        <v>41896.790383999993</v>
      </c>
      <c r="L98" s="97">
        <f t="shared" si="44"/>
        <v>51566.007031999987</v>
      </c>
      <c r="M98" s="97">
        <f t="shared" ref="M98" si="45">M86+M84</f>
        <v>63207.793521323933</v>
      </c>
    </row>
    <row r="99" spans="1:13" ht="16.5" thickBot="1" x14ac:dyDescent="0.3">
      <c r="A99" s="95" t="s">
        <v>89</v>
      </c>
      <c r="D99" s="176" t="s">
        <v>154</v>
      </c>
      <c r="E99" s="96">
        <f t="shared" ref="E99:L99" si="46">E86+E84+E83+E82</f>
        <v>5298</v>
      </c>
      <c r="F99" s="96">
        <f t="shared" si="46"/>
        <v>9648</v>
      </c>
      <c r="G99" s="97">
        <f t="shared" si="46"/>
        <v>13279</v>
      </c>
      <c r="H99" s="98">
        <f t="shared" si="46"/>
        <v>23994</v>
      </c>
      <c r="I99" s="96">
        <f t="shared" si="46"/>
        <v>29282.483999999997</v>
      </c>
      <c r="J99" s="96">
        <f t="shared" si="46"/>
        <v>36105.490079999989</v>
      </c>
      <c r="K99" s="96">
        <f t="shared" si="46"/>
        <v>43463.697551999991</v>
      </c>
      <c r="L99" s="97">
        <f t="shared" si="46"/>
        <v>53583.28946783999</v>
      </c>
      <c r="M99" s="97">
        <f t="shared" ref="M99" si="47">M86+M84+M83+M82</f>
        <v>65800.608437795614</v>
      </c>
    </row>
    <row r="100" spans="1:13" ht="21.75" thickBot="1" x14ac:dyDescent="0.4">
      <c r="A100" s="169" t="s">
        <v>90</v>
      </c>
      <c r="B100" s="170"/>
      <c r="C100" s="170"/>
      <c r="D100" s="175">
        <v>-50000</v>
      </c>
      <c r="E100" s="171">
        <f t="shared" ref="E100:L100" si="48">E165+E171</f>
        <v>5057</v>
      </c>
      <c r="F100" s="171">
        <f t="shared" si="48"/>
        <v>8814</v>
      </c>
      <c r="G100" s="172">
        <f t="shared" si="48"/>
        <v>10406</v>
      </c>
      <c r="H100" s="173">
        <f t="shared" si="48"/>
        <v>16765.319154093733</v>
      </c>
      <c r="I100" s="171">
        <f t="shared" si="48"/>
        <v>23177.376978119653</v>
      </c>
      <c r="J100" s="171">
        <f t="shared" si="48"/>
        <v>29038.740679435963</v>
      </c>
      <c r="K100" s="171">
        <f t="shared" si="48"/>
        <v>34982.108257018437</v>
      </c>
      <c r="L100" s="174">
        <f t="shared" si="48"/>
        <v>44003.622408522395</v>
      </c>
      <c r="M100" s="174">
        <f t="shared" ref="M100" si="49">M165+M171</f>
        <v>53435.410817931363</v>
      </c>
    </row>
    <row r="101" spans="1:13" x14ac:dyDescent="0.25">
      <c r="A101" s="110" t="s">
        <v>91</v>
      </c>
      <c r="B101" s="54"/>
      <c r="C101" s="54"/>
      <c r="D101" s="54"/>
      <c r="E101" s="111"/>
      <c r="F101" s="112">
        <f t="shared" ref="F101:L101" si="50">(F121-F118-F119-F134)*Units/F96</f>
        <v>24.512852232305665</v>
      </c>
      <c r="G101" s="113">
        <f t="shared" si="50"/>
        <v>35.003114646556526</v>
      </c>
      <c r="H101" s="112">
        <f t="shared" si="50"/>
        <v>55.169372566497827</v>
      </c>
      <c r="I101" s="112">
        <f t="shared" si="50"/>
        <v>79.756245967186402</v>
      </c>
      <c r="J101" s="112">
        <f t="shared" si="50"/>
        <v>110.61293490292056</v>
      </c>
      <c r="K101" s="112">
        <f t="shared" si="50"/>
        <v>147.69256013055437</v>
      </c>
      <c r="L101" s="113">
        <f t="shared" si="50"/>
        <v>194.15081670011423</v>
      </c>
      <c r="M101" s="113">
        <f t="shared" ref="M101" si="51">(M121-M118-M119-M134)*Units/M96</f>
        <v>250.45084012980826</v>
      </c>
    </row>
    <row r="102" spans="1:13" x14ac:dyDescent="0.25">
      <c r="D102" s="156" t="s">
        <v>155</v>
      </c>
      <c r="E102" s="156" t="s">
        <v>156</v>
      </c>
      <c r="F102" s="156" t="s">
        <v>157</v>
      </c>
      <c r="G102" s="156" t="s">
        <v>158</v>
      </c>
      <c r="H102" s="156" t="s">
        <v>159</v>
      </c>
      <c r="I102" s="156" t="s">
        <v>160</v>
      </c>
      <c r="J102" s="156" t="s">
        <v>161</v>
      </c>
      <c r="K102" s="156" t="s">
        <v>162</v>
      </c>
      <c r="L102" s="156" t="s">
        <v>163</v>
      </c>
      <c r="M102" s="156" t="s">
        <v>163</v>
      </c>
    </row>
    <row r="103" spans="1:13" x14ac:dyDescent="0.25">
      <c r="A103" s="2" t="s">
        <v>92</v>
      </c>
      <c r="B103" s="3"/>
      <c r="C103" s="3"/>
      <c r="D103" s="3"/>
      <c r="E103" s="3"/>
      <c r="F103" s="4"/>
      <c r="G103" s="4"/>
      <c r="H103" s="4"/>
      <c r="I103" s="4"/>
      <c r="J103" s="4"/>
      <c r="K103" s="4"/>
      <c r="L103" s="5"/>
      <c r="M103" s="5"/>
    </row>
    <row r="104" spans="1:13" x14ac:dyDescent="0.25">
      <c r="A104" s="7"/>
      <c r="D104" s="41"/>
      <c r="E104" s="41"/>
      <c r="F104" s="39" t="str">
        <f t="shared" ref="F104:M104" si="52">F$23</f>
        <v>FY 2018</v>
      </c>
      <c r="G104" s="40" t="str">
        <f t="shared" si="52"/>
        <v>FY 2019</v>
      </c>
      <c r="H104" s="39" t="str">
        <f t="shared" si="52"/>
        <v>FY 2020E</v>
      </c>
      <c r="I104" s="39" t="str">
        <f t="shared" si="52"/>
        <v>FY 2021E</v>
      </c>
      <c r="J104" s="39" t="str">
        <f t="shared" si="52"/>
        <v>FY 2022E</v>
      </c>
      <c r="K104" s="39" t="str">
        <f t="shared" si="52"/>
        <v>FY 2023E</v>
      </c>
      <c r="L104" s="40" t="str">
        <f t="shared" si="52"/>
        <v>FY 2024E</v>
      </c>
      <c r="M104" s="40" t="str">
        <f t="shared" si="52"/>
        <v>FY 2025E</v>
      </c>
    </row>
    <row r="105" spans="1:13" x14ac:dyDescent="0.25">
      <c r="A105" s="114" t="s">
        <v>93</v>
      </c>
      <c r="B105" s="115"/>
      <c r="C105" s="115"/>
      <c r="D105" s="116"/>
      <c r="E105" s="116"/>
      <c r="F105" s="116"/>
      <c r="G105" s="117"/>
      <c r="H105" s="33"/>
      <c r="L105" s="118"/>
      <c r="M105" s="118"/>
    </row>
    <row r="106" spans="1:13" x14ac:dyDescent="0.25">
      <c r="A106" s="9" t="s">
        <v>94</v>
      </c>
      <c r="B106" s="119"/>
      <c r="C106" s="119"/>
      <c r="D106" s="119"/>
      <c r="F106" s="119"/>
      <c r="G106" s="120"/>
      <c r="L106" s="22"/>
      <c r="M106" s="22"/>
    </row>
    <row r="107" spans="1:13" x14ac:dyDescent="0.25">
      <c r="A107" s="25" t="s">
        <v>95</v>
      </c>
      <c r="B107" s="121"/>
      <c r="C107" s="121"/>
      <c r="D107" s="28"/>
      <c r="F107" s="19">
        <f t="shared" ref="F107:L107" si="53">F186</f>
        <v>12184</v>
      </c>
      <c r="G107" s="94">
        <f t="shared" si="53"/>
        <v>6963</v>
      </c>
      <c r="H107" s="19">
        <f t="shared" si="53"/>
        <v>23728.319154093733</v>
      </c>
      <c r="I107" s="19">
        <f t="shared" si="53"/>
        <v>46905.696132213387</v>
      </c>
      <c r="J107" s="19">
        <f t="shared" si="53"/>
        <v>75944.436811649357</v>
      </c>
      <c r="K107" s="19">
        <f t="shared" si="53"/>
        <v>110926.54506866779</v>
      </c>
      <c r="L107" s="94">
        <f t="shared" si="53"/>
        <v>154930.1674771902</v>
      </c>
      <c r="M107" s="94">
        <f t="shared" ref="M107" si="54">M186</f>
        <v>208365.57829512155</v>
      </c>
    </row>
    <row r="108" spans="1:13" x14ac:dyDescent="0.25">
      <c r="A108" s="25" t="s">
        <v>96</v>
      </c>
      <c r="B108" s="96"/>
      <c r="C108" s="92"/>
      <c r="D108" s="28"/>
      <c r="F108" s="28">
        <v>10236</v>
      </c>
      <c r="G108" s="94">
        <f t="shared" ref="G108:M108" si="55">F108-G168-G169</f>
        <v>26282</v>
      </c>
      <c r="H108" s="19">
        <f t="shared" si="55"/>
        <v>26282</v>
      </c>
      <c r="I108" s="19">
        <f t="shared" si="55"/>
        <v>26282</v>
      </c>
      <c r="J108" s="19">
        <f t="shared" si="55"/>
        <v>26282</v>
      </c>
      <c r="K108" s="19">
        <f t="shared" si="55"/>
        <v>26282</v>
      </c>
      <c r="L108" s="94">
        <f t="shared" si="55"/>
        <v>26282</v>
      </c>
      <c r="M108" s="94">
        <f t="shared" si="55"/>
        <v>26282</v>
      </c>
    </row>
    <row r="109" spans="1:13" x14ac:dyDescent="0.25">
      <c r="A109" s="25" t="s">
        <v>97</v>
      </c>
      <c r="D109" s="28"/>
      <c r="F109" s="28">
        <v>2422</v>
      </c>
      <c r="G109" s="12">
        <v>3361</v>
      </c>
      <c r="H109" s="19">
        <f t="shared" ref="H109:M109" si="56">H58*H74</f>
        <v>4033.2</v>
      </c>
      <c r="I109" s="19">
        <f t="shared" si="56"/>
        <v>4880.1719999999996</v>
      </c>
      <c r="J109" s="19">
        <f t="shared" si="56"/>
        <v>5953.8098399999999</v>
      </c>
      <c r="K109" s="19">
        <f t="shared" si="56"/>
        <v>7144.5718079999988</v>
      </c>
      <c r="L109" s="94">
        <f t="shared" si="56"/>
        <v>8716.3776057599971</v>
      </c>
      <c r="M109" s="94">
        <f t="shared" si="56"/>
        <v>10625.264301421439</v>
      </c>
    </row>
    <row r="110" spans="1:13" x14ac:dyDescent="0.25">
      <c r="A110" s="25" t="s">
        <v>98</v>
      </c>
      <c r="B110" s="121"/>
      <c r="C110" s="121"/>
      <c r="D110" s="28"/>
      <c r="F110" s="28">
        <v>509</v>
      </c>
      <c r="G110" s="12">
        <v>455</v>
      </c>
      <c r="H110" s="19">
        <f t="shared" ref="H110:M110" si="57">H60*H75</f>
        <v>426.46255906703698</v>
      </c>
      <c r="I110" s="19">
        <f t="shared" si="57"/>
        <v>510.41078672686353</v>
      </c>
      <c r="J110" s="19">
        <f t="shared" si="57"/>
        <v>618.59543787398161</v>
      </c>
      <c r="K110" s="19">
        <f t="shared" si="57"/>
        <v>739.02994790254422</v>
      </c>
      <c r="L110" s="94">
        <f t="shared" si="57"/>
        <v>891.59857492509161</v>
      </c>
      <c r="M110" s="94">
        <f t="shared" si="57"/>
        <v>1079.2872878791152</v>
      </c>
    </row>
    <row r="111" spans="1:13" x14ac:dyDescent="0.25">
      <c r="A111" s="25" t="s">
        <v>99</v>
      </c>
      <c r="B111" s="121"/>
      <c r="C111" s="121"/>
      <c r="D111" s="28"/>
      <c r="F111" s="28">
        <v>1044</v>
      </c>
      <c r="G111" s="94">
        <f t="shared" ref="G111:M111" si="58">F111-G155</f>
        <v>4</v>
      </c>
      <c r="H111" s="19">
        <f t="shared" si="58"/>
        <v>4</v>
      </c>
      <c r="I111" s="19">
        <f t="shared" si="58"/>
        <v>4</v>
      </c>
      <c r="J111" s="19">
        <f t="shared" si="58"/>
        <v>4</v>
      </c>
      <c r="K111" s="19">
        <f t="shared" si="58"/>
        <v>4</v>
      </c>
      <c r="L111" s="94">
        <f t="shared" si="58"/>
        <v>4</v>
      </c>
      <c r="M111" s="94">
        <f t="shared" si="58"/>
        <v>4</v>
      </c>
    </row>
    <row r="112" spans="1:13" x14ac:dyDescent="0.25">
      <c r="A112" s="25" t="s">
        <v>100</v>
      </c>
      <c r="B112" s="96"/>
      <c r="C112" s="92"/>
      <c r="D112" s="28"/>
      <c r="F112" s="28">
        <v>3920</v>
      </c>
      <c r="G112" s="12">
        <v>3140</v>
      </c>
      <c r="H112" s="19">
        <f t="shared" ref="H112:M112" si="59">G112</f>
        <v>3140</v>
      </c>
      <c r="I112" s="19">
        <f t="shared" si="59"/>
        <v>3140</v>
      </c>
      <c r="J112" s="19">
        <f t="shared" si="59"/>
        <v>3140</v>
      </c>
      <c r="K112" s="19">
        <f t="shared" si="59"/>
        <v>3140</v>
      </c>
      <c r="L112" s="94">
        <f t="shared" si="59"/>
        <v>3140</v>
      </c>
      <c r="M112" s="94">
        <f t="shared" si="59"/>
        <v>3140</v>
      </c>
    </row>
    <row r="113" spans="1:13" x14ac:dyDescent="0.25">
      <c r="A113" s="122" t="s">
        <v>101</v>
      </c>
      <c r="B113" s="123"/>
      <c r="C113" s="124"/>
      <c r="D113" s="125"/>
      <c r="E113" s="33"/>
      <c r="F113" s="125">
        <f t="shared" ref="F113:L113" si="60">SUM(F107:F112)</f>
        <v>30315</v>
      </c>
      <c r="G113" s="126">
        <f t="shared" si="60"/>
        <v>40205</v>
      </c>
      <c r="H113" s="125">
        <f t="shared" si="60"/>
        <v>57613.981713160771</v>
      </c>
      <c r="I113" s="125">
        <f t="shared" si="60"/>
        <v>81722.278918940254</v>
      </c>
      <c r="J113" s="125">
        <f t="shared" si="60"/>
        <v>111942.84208952334</v>
      </c>
      <c r="K113" s="125">
        <f t="shared" si="60"/>
        <v>148236.14682457034</v>
      </c>
      <c r="L113" s="126">
        <f t="shared" si="60"/>
        <v>193964.14365787531</v>
      </c>
      <c r="M113" s="126">
        <f t="shared" ref="M113" si="61">SUM(M107:M112)</f>
        <v>249496.12988442212</v>
      </c>
    </row>
    <row r="114" spans="1:13" x14ac:dyDescent="0.25">
      <c r="A114" s="7"/>
      <c r="B114" s="96"/>
      <c r="C114" s="92"/>
      <c r="D114" s="92"/>
      <c r="F114" s="92"/>
      <c r="G114" s="93"/>
      <c r="H114" s="92"/>
      <c r="I114" s="92"/>
      <c r="J114" s="92"/>
      <c r="K114" s="92"/>
      <c r="L114" s="93"/>
      <c r="M114" s="93"/>
    </row>
    <row r="115" spans="1:13" x14ac:dyDescent="0.25">
      <c r="A115" s="9" t="s">
        <v>102</v>
      </c>
      <c r="B115" s="96"/>
      <c r="C115" s="92"/>
      <c r="D115" s="92"/>
      <c r="F115" s="92"/>
      <c r="G115" s="93"/>
      <c r="H115" s="92"/>
      <c r="I115" s="92"/>
      <c r="J115" s="92"/>
      <c r="K115" s="92"/>
      <c r="L115" s="93"/>
      <c r="M115" s="93"/>
    </row>
    <row r="116" spans="1:13" x14ac:dyDescent="0.25">
      <c r="A116" s="25" t="s">
        <v>103</v>
      </c>
      <c r="B116" s="127"/>
      <c r="C116" s="19"/>
      <c r="D116" s="28"/>
      <c r="F116" s="28">
        <v>2379</v>
      </c>
      <c r="G116" s="94">
        <f t="shared" ref="G116:M116" si="62">F116-G170-G173</f>
        <v>2554</v>
      </c>
      <c r="H116" s="19">
        <f t="shared" si="62"/>
        <v>2554</v>
      </c>
      <c r="I116" s="19">
        <f t="shared" si="62"/>
        <v>2554</v>
      </c>
      <c r="J116" s="19">
        <f t="shared" si="62"/>
        <v>2554</v>
      </c>
      <c r="K116" s="19">
        <f t="shared" si="62"/>
        <v>2554</v>
      </c>
      <c r="L116" s="94">
        <f t="shared" si="62"/>
        <v>2554</v>
      </c>
      <c r="M116" s="94">
        <f t="shared" si="62"/>
        <v>2554</v>
      </c>
    </row>
    <row r="117" spans="1:13" x14ac:dyDescent="0.25">
      <c r="A117" s="25" t="s">
        <v>104</v>
      </c>
      <c r="B117" s="96"/>
      <c r="C117" s="92"/>
      <c r="D117" s="28"/>
      <c r="F117" s="28">
        <v>2455</v>
      </c>
      <c r="G117" s="94">
        <f t="shared" ref="G117:M117" si="63">F117-G171-G152-G156</f>
        <v>2839</v>
      </c>
      <c r="H117" s="19">
        <f t="shared" si="63"/>
        <v>3489.4</v>
      </c>
      <c r="I117" s="19">
        <f t="shared" si="63"/>
        <v>4213.9480000000003</v>
      </c>
      <c r="J117" s="19">
        <f t="shared" si="63"/>
        <v>5021.7246400000004</v>
      </c>
      <c r="K117" s="19">
        <f t="shared" si="63"/>
        <v>5899.6503040000007</v>
      </c>
      <c r="L117" s="94">
        <f t="shared" si="63"/>
        <v>6859.2039232000006</v>
      </c>
      <c r="M117" s="94">
        <f t="shared" si="63"/>
        <v>7892.9621578220813</v>
      </c>
    </row>
    <row r="118" spans="1:13" x14ac:dyDescent="0.25">
      <c r="A118" s="25" t="s">
        <v>105</v>
      </c>
      <c r="B118" s="128"/>
      <c r="C118" s="129"/>
      <c r="D118" s="28"/>
      <c r="F118" s="28">
        <v>207</v>
      </c>
      <c r="G118" s="94">
        <f t="shared" ref="G118:M118" si="64">F118</f>
        <v>207</v>
      </c>
      <c r="H118" s="19">
        <f t="shared" si="64"/>
        <v>207</v>
      </c>
      <c r="I118" s="19">
        <f t="shared" si="64"/>
        <v>207</v>
      </c>
      <c r="J118" s="19">
        <f t="shared" si="64"/>
        <v>207</v>
      </c>
      <c r="K118" s="19">
        <f t="shared" si="64"/>
        <v>207</v>
      </c>
      <c r="L118" s="94">
        <f t="shared" si="64"/>
        <v>207</v>
      </c>
      <c r="M118" s="94">
        <f t="shared" si="64"/>
        <v>207</v>
      </c>
    </row>
    <row r="119" spans="1:13" x14ac:dyDescent="0.25">
      <c r="A119" s="130" t="s">
        <v>106</v>
      </c>
      <c r="B119" s="131"/>
      <c r="C119" s="132"/>
      <c r="D119" s="28"/>
      <c r="F119" s="28">
        <v>285</v>
      </c>
      <c r="G119" s="94">
        <f t="shared" ref="G119:M119" si="65">F119-G153-G172</f>
        <v>354</v>
      </c>
      <c r="H119" s="19">
        <f t="shared" si="65"/>
        <v>314</v>
      </c>
      <c r="I119" s="19">
        <f t="shared" si="65"/>
        <v>277</v>
      </c>
      <c r="J119" s="19">
        <f t="shared" si="65"/>
        <v>249</v>
      </c>
      <c r="K119" s="19">
        <f t="shared" si="65"/>
        <v>236</v>
      </c>
      <c r="L119" s="94">
        <f t="shared" si="65"/>
        <v>226</v>
      </c>
      <c r="M119" s="94">
        <f t="shared" si="65"/>
        <v>216</v>
      </c>
    </row>
    <row r="120" spans="1:13" x14ac:dyDescent="0.25">
      <c r="A120" s="130" t="s">
        <v>107</v>
      </c>
      <c r="B120" s="131"/>
      <c r="C120" s="132"/>
      <c r="D120" s="28"/>
      <c r="F120" s="28">
        <v>839</v>
      </c>
      <c r="G120" s="12">
        <v>2011</v>
      </c>
      <c r="H120" s="19">
        <f t="shared" ref="H120:M120" si="66">G120</f>
        <v>2011</v>
      </c>
      <c r="I120" s="19">
        <f t="shared" si="66"/>
        <v>2011</v>
      </c>
      <c r="J120" s="19">
        <f t="shared" si="66"/>
        <v>2011</v>
      </c>
      <c r="K120" s="19">
        <f t="shared" si="66"/>
        <v>2011</v>
      </c>
      <c r="L120" s="94">
        <f t="shared" si="66"/>
        <v>2011</v>
      </c>
      <c r="M120" s="94">
        <f t="shared" si="66"/>
        <v>2011</v>
      </c>
    </row>
    <row r="121" spans="1:13" x14ac:dyDescent="0.25">
      <c r="A121" s="122" t="s">
        <v>108</v>
      </c>
      <c r="B121" s="123"/>
      <c r="C121" s="124"/>
      <c r="D121" s="125"/>
      <c r="E121" s="33"/>
      <c r="F121" s="125">
        <f t="shared" ref="F121:L121" si="67">SUM(F116:F120)+F113</f>
        <v>36480</v>
      </c>
      <c r="G121" s="126">
        <f t="shared" si="67"/>
        <v>48170</v>
      </c>
      <c r="H121" s="125">
        <f t="shared" si="67"/>
        <v>66189.381713160765</v>
      </c>
      <c r="I121" s="125">
        <f t="shared" si="67"/>
        <v>90985.226918940258</v>
      </c>
      <c r="J121" s="125">
        <f t="shared" si="67"/>
        <v>121985.56672952334</v>
      </c>
      <c r="K121" s="125">
        <f t="shared" si="67"/>
        <v>159143.79712857035</v>
      </c>
      <c r="L121" s="126">
        <f t="shared" si="67"/>
        <v>205821.3475810753</v>
      </c>
      <c r="M121" s="126">
        <f t="shared" ref="M121" si="68">SUM(M116:M120)+M113</f>
        <v>262377.09204224421</v>
      </c>
    </row>
    <row r="122" spans="1:13" x14ac:dyDescent="0.25">
      <c r="A122" s="133"/>
      <c r="B122" s="131"/>
      <c r="C122" s="132"/>
      <c r="D122" s="132"/>
      <c r="F122" s="132"/>
      <c r="G122" s="134"/>
      <c r="H122" s="132"/>
      <c r="I122" s="132"/>
      <c r="J122" s="132"/>
      <c r="K122" s="132"/>
      <c r="L122" s="134"/>
      <c r="M122" s="134"/>
    </row>
    <row r="123" spans="1:13" x14ac:dyDescent="0.25">
      <c r="A123" s="135" t="s">
        <v>109</v>
      </c>
      <c r="B123" s="136"/>
      <c r="C123" s="137"/>
      <c r="D123" s="137"/>
      <c r="F123" s="138"/>
      <c r="G123" s="139"/>
      <c r="H123" s="138"/>
      <c r="I123" s="138"/>
      <c r="J123" s="138"/>
      <c r="K123" s="138"/>
      <c r="L123" s="139"/>
      <c r="M123" s="139"/>
    </row>
    <row r="124" spans="1:13" x14ac:dyDescent="0.25">
      <c r="A124" s="9" t="s">
        <v>110</v>
      </c>
      <c r="B124" s="96"/>
      <c r="C124" s="92"/>
      <c r="D124" s="92"/>
      <c r="F124" s="92"/>
      <c r="G124" s="93"/>
      <c r="H124" s="92"/>
      <c r="I124" s="92"/>
      <c r="J124" s="92"/>
      <c r="K124" s="92"/>
      <c r="L124" s="93"/>
      <c r="M124" s="93"/>
    </row>
    <row r="125" spans="1:13" x14ac:dyDescent="0.25">
      <c r="A125" s="25" t="s">
        <v>111</v>
      </c>
      <c r="B125" s="96"/>
      <c r="C125" s="92"/>
      <c r="D125" s="28"/>
      <c r="F125" s="28">
        <v>5520</v>
      </c>
      <c r="G125" s="12">
        <v>5601</v>
      </c>
      <c r="H125" s="19">
        <f t="shared" ref="H125:M125" si="69">H63*H75</f>
        <v>5249.7072380977452</v>
      </c>
      <c r="I125" s="19">
        <f t="shared" si="69"/>
        <v>6283.1006955102475</v>
      </c>
      <c r="J125" s="19">
        <f t="shared" si="69"/>
        <v>7614.8418627080682</v>
      </c>
      <c r="K125" s="19">
        <f t="shared" si="69"/>
        <v>9097.3774465981332</v>
      </c>
      <c r="L125" s="94">
        <f t="shared" si="69"/>
        <v>10975.480479462502</v>
      </c>
      <c r="M125" s="94">
        <f t="shared" si="69"/>
        <v>13285.907910793239</v>
      </c>
    </row>
    <row r="126" spans="1:13" x14ac:dyDescent="0.25">
      <c r="A126" s="25" t="s">
        <v>112</v>
      </c>
      <c r="B126" s="96"/>
      <c r="C126" s="92"/>
      <c r="D126" s="28"/>
      <c r="F126" s="28">
        <v>4224</v>
      </c>
      <c r="G126" s="12">
        <v>3852</v>
      </c>
      <c r="H126" s="19">
        <f t="shared" ref="H126:M126" si="70">H65*H80</f>
        <v>3390.5777103866562</v>
      </c>
      <c r="I126" s="19">
        <f t="shared" si="70"/>
        <v>4157.3003499620927</v>
      </c>
      <c r="J126" s="19">
        <f t="shared" si="70"/>
        <v>4938.4352051918122</v>
      </c>
      <c r="K126" s="19">
        <f t="shared" si="70"/>
        <v>5966.1636127587562</v>
      </c>
      <c r="L126" s="94">
        <f t="shared" si="70"/>
        <v>7278.7196075656811</v>
      </c>
      <c r="M126" s="94">
        <f t="shared" si="70"/>
        <v>8819.1653540959869</v>
      </c>
    </row>
    <row r="127" spans="1:13" x14ac:dyDescent="0.25">
      <c r="A127" s="25" t="s">
        <v>113</v>
      </c>
      <c r="D127" s="28"/>
      <c r="F127" s="28">
        <v>1617</v>
      </c>
      <c r="G127" s="12">
        <v>2053</v>
      </c>
      <c r="H127" s="19">
        <f t="shared" ref="H127:M127" si="71">H66*H74</f>
        <v>2463.6</v>
      </c>
      <c r="I127" s="19">
        <f t="shared" si="71"/>
        <v>2980.9560000000001</v>
      </c>
      <c r="J127" s="19">
        <f t="shared" si="71"/>
        <v>3636.7663200000002</v>
      </c>
      <c r="K127" s="19">
        <f t="shared" si="71"/>
        <v>4364.1195839999991</v>
      </c>
      <c r="L127" s="94">
        <f t="shared" si="71"/>
        <v>5324.2258924799989</v>
      </c>
      <c r="M127" s="94">
        <f t="shared" si="71"/>
        <v>6490.2313629331202</v>
      </c>
    </row>
    <row r="128" spans="1:13" x14ac:dyDescent="0.25">
      <c r="A128" s="122" t="s">
        <v>114</v>
      </c>
      <c r="B128" s="33"/>
      <c r="C128" s="33"/>
      <c r="D128" s="125"/>
      <c r="E128" s="33"/>
      <c r="F128" s="125">
        <f t="shared" ref="F128:L128" si="72">SUM(F125:F127)</f>
        <v>11361</v>
      </c>
      <c r="G128" s="126">
        <f t="shared" si="72"/>
        <v>11506</v>
      </c>
      <c r="H128" s="125">
        <f t="shared" si="72"/>
        <v>11103.884948484401</v>
      </c>
      <c r="I128" s="125">
        <f t="shared" si="72"/>
        <v>13421.357045472339</v>
      </c>
      <c r="J128" s="125">
        <f t="shared" si="72"/>
        <v>16190.043387899881</v>
      </c>
      <c r="K128" s="125">
        <f t="shared" si="72"/>
        <v>19427.660643356889</v>
      </c>
      <c r="L128" s="126">
        <f t="shared" si="72"/>
        <v>23578.425979508182</v>
      </c>
      <c r="M128" s="126">
        <f t="shared" ref="M128" si="73">SUM(M125:M127)</f>
        <v>28595.304627822348</v>
      </c>
    </row>
    <row r="129" spans="1:13" x14ac:dyDescent="0.25">
      <c r="A129" s="7"/>
      <c r="G129" s="22"/>
      <c r="L129" s="22"/>
      <c r="M129" s="22"/>
    </row>
    <row r="130" spans="1:13" x14ac:dyDescent="0.25">
      <c r="A130" s="9" t="s">
        <v>115</v>
      </c>
      <c r="G130" s="22"/>
      <c r="L130" s="22"/>
      <c r="M130" s="22"/>
    </row>
    <row r="131" spans="1:13" x14ac:dyDescent="0.25">
      <c r="A131" s="25" t="s">
        <v>113</v>
      </c>
      <c r="D131" s="28"/>
      <c r="F131" s="28">
        <v>768</v>
      </c>
      <c r="G131" s="12">
        <v>853</v>
      </c>
      <c r="H131" s="19">
        <f t="shared" ref="H131:M131" si="74">H67*H74</f>
        <v>1023.6</v>
      </c>
      <c r="I131" s="19">
        <f t="shared" si="74"/>
        <v>1238.556</v>
      </c>
      <c r="J131" s="19">
        <f t="shared" si="74"/>
        <v>1511.0383200000001</v>
      </c>
      <c r="K131" s="19">
        <f t="shared" si="74"/>
        <v>1813.2459839999999</v>
      </c>
      <c r="L131" s="94">
        <f t="shared" si="74"/>
        <v>2212.1601004799995</v>
      </c>
      <c r="M131" s="94">
        <f t="shared" si="74"/>
        <v>2696.6231624851202</v>
      </c>
    </row>
    <row r="132" spans="1:13" x14ac:dyDescent="0.25">
      <c r="A132" s="25" t="s">
        <v>116</v>
      </c>
      <c r="D132" s="28"/>
      <c r="F132" s="28">
        <v>0</v>
      </c>
      <c r="G132" s="12">
        <v>0</v>
      </c>
      <c r="H132" s="19">
        <f t="shared" ref="H132:M132" si="75">G132+H181</f>
        <v>0</v>
      </c>
      <c r="I132" s="19">
        <f t="shared" si="75"/>
        <v>0</v>
      </c>
      <c r="J132" s="19">
        <f t="shared" si="75"/>
        <v>0</v>
      </c>
      <c r="K132" s="19">
        <f t="shared" si="75"/>
        <v>0</v>
      </c>
      <c r="L132" s="94">
        <f t="shared" si="75"/>
        <v>0</v>
      </c>
      <c r="M132" s="94">
        <f t="shared" si="75"/>
        <v>0</v>
      </c>
    </row>
    <row r="133" spans="1:13" x14ac:dyDescent="0.25">
      <c r="A133" s="25" t="s">
        <v>117</v>
      </c>
      <c r="D133" s="28"/>
      <c r="F133" s="28">
        <v>1745</v>
      </c>
      <c r="G133" s="12">
        <v>3502</v>
      </c>
      <c r="H133" s="19">
        <f t="shared" ref="H133:M133" si="76">G133</f>
        <v>3502</v>
      </c>
      <c r="I133" s="19">
        <f t="shared" si="76"/>
        <v>3502</v>
      </c>
      <c r="J133" s="19">
        <f t="shared" si="76"/>
        <v>3502</v>
      </c>
      <c r="K133" s="19">
        <f t="shared" si="76"/>
        <v>3502</v>
      </c>
      <c r="L133" s="94">
        <f t="shared" si="76"/>
        <v>3502</v>
      </c>
      <c r="M133" s="94">
        <f t="shared" si="76"/>
        <v>3502</v>
      </c>
    </row>
    <row r="134" spans="1:13" x14ac:dyDescent="0.25">
      <c r="A134" s="122" t="s">
        <v>118</v>
      </c>
      <c r="B134" s="33"/>
      <c r="C134" s="33"/>
      <c r="D134" s="125"/>
      <c r="E134" s="33"/>
      <c r="F134" s="125">
        <f t="shared" ref="F134:L134" si="77">SUM(F131:F133)+F128</f>
        <v>13874</v>
      </c>
      <c r="G134" s="126">
        <f t="shared" si="77"/>
        <v>15861</v>
      </c>
      <c r="H134" s="125">
        <f t="shared" si="77"/>
        <v>15629.484948484402</v>
      </c>
      <c r="I134" s="125">
        <f t="shared" si="77"/>
        <v>18161.913045472342</v>
      </c>
      <c r="J134" s="125">
        <f t="shared" si="77"/>
        <v>21203.081707899881</v>
      </c>
      <c r="K134" s="125">
        <f>SUM(K131:K133)+K128</f>
        <v>24742.90662735689</v>
      </c>
      <c r="L134" s="126">
        <f t="shared" si="77"/>
        <v>29292.586079988181</v>
      </c>
      <c r="M134" s="126">
        <f t="shared" ref="M134" si="78">SUM(M131:M133)+M128</f>
        <v>34793.927790307469</v>
      </c>
    </row>
    <row r="135" spans="1:13" x14ac:dyDescent="0.25">
      <c r="A135" s="7"/>
      <c r="G135" s="22"/>
      <c r="L135" s="22"/>
      <c r="M135" s="22"/>
    </row>
    <row r="136" spans="1:13" x14ac:dyDescent="0.25">
      <c r="A136" s="9" t="s">
        <v>119</v>
      </c>
      <c r="G136" s="22"/>
      <c r="L136" s="22"/>
      <c r="M136" s="22"/>
    </row>
    <row r="137" spans="1:13" x14ac:dyDescent="0.25">
      <c r="A137" s="25" t="s">
        <v>120</v>
      </c>
      <c r="D137" s="28"/>
      <c r="F137" s="28">
        <v>7177</v>
      </c>
      <c r="G137" s="94">
        <f t="shared" ref="G137:M137" si="79">F137</f>
        <v>7177</v>
      </c>
      <c r="H137" s="19">
        <f t="shared" si="79"/>
        <v>7177</v>
      </c>
      <c r="I137" s="19">
        <f t="shared" si="79"/>
        <v>7177</v>
      </c>
      <c r="J137" s="19">
        <f t="shared" si="79"/>
        <v>7177</v>
      </c>
      <c r="K137" s="19">
        <f t="shared" si="79"/>
        <v>7177</v>
      </c>
      <c r="L137" s="94">
        <f t="shared" si="79"/>
        <v>7177</v>
      </c>
      <c r="M137" s="94">
        <f t="shared" si="79"/>
        <v>7177</v>
      </c>
    </row>
    <row r="138" spans="1:13" x14ac:dyDescent="0.25">
      <c r="A138" s="25" t="s">
        <v>121</v>
      </c>
      <c r="D138" s="28"/>
      <c r="F138" s="28">
        <v>0</v>
      </c>
      <c r="G138" s="94">
        <f t="shared" ref="G138:M138" si="80">F138+G177+G154</f>
        <v>1185</v>
      </c>
      <c r="H138" s="19">
        <f t="shared" si="80"/>
        <v>2320.1999999999998</v>
      </c>
      <c r="I138" s="19">
        <f t="shared" si="80"/>
        <v>3756.2280000000001</v>
      </c>
      <c r="J138" s="19">
        <f t="shared" si="80"/>
        <v>5584.3540800000001</v>
      </c>
      <c r="K138" s="19">
        <f t="shared" si="80"/>
        <v>7869.5116799999996</v>
      </c>
      <c r="L138" s="94">
        <f t="shared" si="80"/>
        <v>10768.919642879999</v>
      </c>
      <c r="M138" s="94">
        <f t="shared" si="80"/>
        <v>14439.235576813438</v>
      </c>
    </row>
    <row r="139" spans="1:13" x14ac:dyDescent="0.25">
      <c r="A139" s="25" t="s">
        <v>122</v>
      </c>
      <c r="D139" s="28"/>
      <c r="F139" s="28">
        <v>309</v>
      </c>
      <c r="G139" s="94">
        <f t="shared" ref="G139:M139" si="81">F139+G178</f>
        <v>309</v>
      </c>
      <c r="H139" s="19">
        <f t="shared" si="81"/>
        <v>309</v>
      </c>
      <c r="I139" s="19">
        <f t="shared" si="81"/>
        <v>309</v>
      </c>
      <c r="J139" s="19">
        <f t="shared" si="81"/>
        <v>309</v>
      </c>
      <c r="K139" s="19">
        <f t="shared" si="81"/>
        <v>309</v>
      </c>
      <c r="L139" s="94">
        <f t="shared" si="81"/>
        <v>309</v>
      </c>
      <c r="M139" s="94">
        <f t="shared" si="81"/>
        <v>309</v>
      </c>
    </row>
    <row r="140" spans="1:13" x14ac:dyDescent="0.25">
      <c r="A140" s="25" t="s">
        <v>123</v>
      </c>
      <c r="D140" s="28"/>
      <c r="F140" s="28">
        <v>15129</v>
      </c>
      <c r="G140" s="94">
        <f t="shared" ref="G140:M140" si="82">F140+G93-G179</f>
        <v>23459</v>
      </c>
      <c r="H140" s="19">
        <f t="shared" si="82"/>
        <v>40574.696764676366</v>
      </c>
      <c r="I140" s="19">
        <f t="shared" si="82"/>
        <v>61402.085873467906</v>
      </c>
      <c r="J140" s="19">
        <f t="shared" si="82"/>
        <v>87533.130941623444</v>
      </c>
      <c r="K140" s="19">
        <f t="shared" si="82"/>
        <v>118866.37882121344</v>
      </c>
      <c r="L140" s="94">
        <f t="shared" si="82"/>
        <v>158094.84185820707</v>
      </c>
      <c r="M140" s="94">
        <f t="shared" si="82"/>
        <v>205478.92867512326</v>
      </c>
    </row>
    <row r="141" spans="1:13" x14ac:dyDescent="0.25">
      <c r="A141" s="25" t="s">
        <v>124</v>
      </c>
      <c r="D141" s="28"/>
      <c r="F141" s="28">
        <v>-9</v>
      </c>
      <c r="G141" s="94">
        <f t="shared" ref="G141:M141" si="83">F141+G180+G182</f>
        <v>179</v>
      </c>
      <c r="H141" s="19">
        <f t="shared" si="83"/>
        <v>179</v>
      </c>
      <c r="I141" s="19">
        <f t="shared" si="83"/>
        <v>179</v>
      </c>
      <c r="J141" s="19">
        <f t="shared" si="83"/>
        <v>179</v>
      </c>
      <c r="K141" s="19">
        <f t="shared" si="83"/>
        <v>179</v>
      </c>
      <c r="L141" s="94">
        <f t="shared" si="83"/>
        <v>179</v>
      </c>
      <c r="M141" s="94">
        <f t="shared" si="83"/>
        <v>179</v>
      </c>
    </row>
    <row r="142" spans="1:13" x14ac:dyDescent="0.25">
      <c r="A142" s="122" t="s">
        <v>125</v>
      </c>
      <c r="B142" s="33"/>
      <c r="C142" s="33"/>
      <c r="D142" s="125"/>
      <c r="E142" s="33"/>
      <c r="F142" s="125">
        <f t="shared" ref="F142:L142" si="84">SUM(F137:F141)</f>
        <v>22606</v>
      </c>
      <c r="G142" s="126">
        <f t="shared" si="84"/>
        <v>32309</v>
      </c>
      <c r="H142" s="125">
        <f t="shared" si="84"/>
        <v>50559.896764676363</v>
      </c>
      <c r="I142" s="125">
        <f t="shared" si="84"/>
        <v>72823.313873467909</v>
      </c>
      <c r="J142" s="125">
        <f t="shared" si="84"/>
        <v>100782.48502162345</v>
      </c>
      <c r="K142" s="125">
        <f>SUM(K137:K141)</f>
        <v>134400.89050121343</v>
      </c>
      <c r="L142" s="126">
        <f t="shared" si="84"/>
        <v>176528.76150108708</v>
      </c>
      <c r="M142" s="126">
        <f t="shared" ref="M142" si="85">SUM(M137:M141)</f>
        <v>227583.16425193669</v>
      </c>
    </row>
    <row r="143" spans="1:13" x14ac:dyDescent="0.25">
      <c r="A143" s="7"/>
      <c r="G143" s="22"/>
      <c r="L143" s="22"/>
      <c r="M143" s="22"/>
    </row>
    <row r="144" spans="1:13" x14ac:dyDescent="0.25">
      <c r="A144" s="53" t="s">
        <v>126</v>
      </c>
      <c r="B144" s="54"/>
      <c r="C144" s="54"/>
      <c r="D144" s="140"/>
      <c r="E144" s="54"/>
      <c r="F144" s="140">
        <f t="shared" ref="F144:L144" si="86">F142+F134</f>
        <v>36480</v>
      </c>
      <c r="G144" s="141">
        <f t="shared" si="86"/>
        <v>48170</v>
      </c>
      <c r="H144" s="140">
        <f t="shared" si="86"/>
        <v>66189.381713160765</v>
      </c>
      <c r="I144" s="140">
        <f t="shared" si="86"/>
        <v>90985.226918940258</v>
      </c>
      <c r="J144" s="140">
        <f t="shared" si="86"/>
        <v>121985.56672952333</v>
      </c>
      <c r="K144" s="140">
        <f>K142+K134</f>
        <v>159143.79712857032</v>
      </c>
      <c r="L144" s="141">
        <f t="shared" si="86"/>
        <v>205821.34758107527</v>
      </c>
      <c r="M144" s="141">
        <f t="shared" ref="M144" si="87">M142+M134</f>
        <v>262377.09204224416</v>
      </c>
    </row>
    <row r="146" spans="1:13" x14ac:dyDescent="0.25">
      <c r="A146" s="1" t="s">
        <v>127</v>
      </c>
      <c r="F146" s="142">
        <f>F121-F144</f>
        <v>0</v>
      </c>
      <c r="G146" s="142">
        <f t="shared" ref="G146:L146" si="88">G121-G144</f>
        <v>0</v>
      </c>
      <c r="H146" s="142">
        <f t="shared" si="88"/>
        <v>0</v>
      </c>
      <c r="I146" s="142">
        <f t="shared" si="88"/>
        <v>0</v>
      </c>
      <c r="J146" s="142">
        <f t="shared" si="88"/>
        <v>0</v>
      </c>
      <c r="K146" s="142">
        <f>K121-K144</f>
        <v>0</v>
      </c>
      <c r="L146" s="142">
        <f t="shared" si="88"/>
        <v>0</v>
      </c>
      <c r="M146" s="142">
        <f t="shared" ref="M146" si="89">M121-M144</f>
        <v>0</v>
      </c>
    </row>
    <row r="148" spans="1:13" x14ac:dyDescent="0.25">
      <c r="A148" s="2" t="s">
        <v>128</v>
      </c>
      <c r="B148" s="3"/>
      <c r="C148" s="3"/>
      <c r="D148" s="4"/>
      <c r="E148" s="4"/>
      <c r="F148" s="4"/>
      <c r="G148" s="4"/>
      <c r="H148" s="4"/>
      <c r="I148" s="4"/>
      <c r="J148" s="4"/>
      <c r="K148" s="4"/>
      <c r="L148" s="5"/>
      <c r="M148" s="5"/>
    </row>
    <row r="149" spans="1:13" x14ac:dyDescent="0.25">
      <c r="A149" s="7"/>
      <c r="E149" s="39" t="str">
        <f t="shared" ref="E149:M149" si="90">E$23</f>
        <v>FY 2017</v>
      </c>
      <c r="F149" s="39" t="str">
        <f t="shared" si="90"/>
        <v>FY 2018</v>
      </c>
      <c r="G149" s="40" t="str">
        <f t="shared" si="90"/>
        <v>FY 2019</v>
      </c>
      <c r="H149" s="39" t="str">
        <f t="shared" si="90"/>
        <v>FY 2020E</v>
      </c>
      <c r="I149" s="39" t="str">
        <f t="shared" si="90"/>
        <v>FY 2021E</v>
      </c>
      <c r="J149" s="39" t="str">
        <f t="shared" si="90"/>
        <v>FY 2022E</v>
      </c>
      <c r="K149" s="39" t="str">
        <f t="shared" si="90"/>
        <v>FY 2023E</v>
      </c>
      <c r="L149" s="40" t="str">
        <f t="shared" si="90"/>
        <v>FY 2024E</v>
      </c>
      <c r="M149" s="40" t="str">
        <f t="shared" si="90"/>
        <v>FY 2025E</v>
      </c>
    </row>
    <row r="150" spans="1:13" x14ac:dyDescent="0.25">
      <c r="A150" s="114" t="s">
        <v>129</v>
      </c>
      <c r="B150" s="143"/>
      <c r="C150" s="143"/>
      <c r="D150" s="143"/>
      <c r="G150" s="144"/>
      <c r="L150" s="22"/>
      <c r="M150" s="22"/>
    </row>
    <row r="151" spans="1:13" x14ac:dyDescent="0.25">
      <c r="A151" s="9" t="s">
        <v>86</v>
      </c>
      <c r="E151" s="92">
        <f t="shared" ref="E151:L151" si="91">E93</f>
        <v>3817</v>
      </c>
      <c r="F151" s="92">
        <f t="shared" si="91"/>
        <v>6428</v>
      </c>
      <c r="G151" s="92">
        <f t="shared" si="91"/>
        <v>8330</v>
      </c>
      <c r="H151" s="145">
        <f t="shared" si="91"/>
        <v>17115.696764676366</v>
      </c>
      <c r="I151" s="92">
        <f t="shared" si="91"/>
        <v>20827.38910879154</v>
      </c>
      <c r="J151" s="92">
        <f t="shared" si="91"/>
        <v>26131.045068155545</v>
      </c>
      <c r="K151" s="92">
        <f t="shared" si="91"/>
        <v>31333.247879589995</v>
      </c>
      <c r="L151" s="92">
        <f t="shared" si="91"/>
        <v>39228.463036993635</v>
      </c>
      <c r="M151" s="92">
        <f t="shared" ref="M151" si="92">M93</f>
        <v>47384.086816916184</v>
      </c>
    </row>
    <row r="152" spans="1:13" x14ac:dyDescent="0.25">
      <c r="A152" s="105" t="s">
        <v>78</v>
      </c>
      <c r="D152" s="121"/>
      <c r="E152" s="19">
        <f t="shared" ref="E152:L154" si="93">E82</f>
        <v>327</v>
      </c>
      <c r="F152" s="19">
        <f t="shared" si="93"/>
        <v>496</v>
      </c>
      <c r="G152" s="19">
        <f t="shared" si="93"/>
        <v>734</v>
      </c>
      <c r="H152" s="146">
        <f t="shared" si="93"/>
        <v>722.4</v>
      </c>
      <c r="I152" s="19">
        <f t="shared" si="93"/>
        <v>936.54</v>
      </c>
      <c r="J152" s="19">
        <f t="shared" si="93"/>
        <v>1218.75072</v>
      </c>
      <c r="K152" s="19">
        <f t="shared" si="93"/>
        <v>1553.907168</v>
      </c>
      <c r="L152" s="19">
        <f t="shared" si="93"/>
        <v>2007.2824358399998</v>
      </c>
      <c r="M152" s="19">
        <f t="shared" ref="M152" si="94">M82</f>
        <v>2582.8149164716801</v>
      </c>
    </row>
    <row r="153" spans="1:13" x14ac:dyDescent="0.25">
      <c r="A153" s="105" t="s">
        <v>63</v>
      </c>
      <c r="D153" s="121"/>
      <c r="E153" s="19">
        <f>E61</f>
        <v>0</v>
      </c>
      <c r="F153" s="19">
        <f>F61</f>
        <v>0</v>
      </c>
      <c r="G153" s="19">
        <f>G61</f>
        <v>0</v>
      </c>
      <c r="H153" s="146">
        <f t="shared" si="93"/>
        <v>40</v>
      </c>
      <c r="I153" s="19">
        <f t="shared" si="93"/>
        <v>37</v>
      </c>
      <c r="J153" s="19">
        <f t="shared" si="93"/>
        <v>28</v>
      </c>
      <c r="K153" s="19">
        <f t="shared" si="93"/>
        <v>13</v>
      </c>
      <c r="L153" s="19">
        <f t="shared" si="93"/>
        <v>10</v>
      </c>
      <c r="M153" s="19">
        <f t="shared" ref="M153" si="95">M83</f>
        <v>10</v>
      </c>
    </row>
    <row r="154" spans="1:13" x14ac:dyDescent="0.25">
      <c r="A154" s="105" t="s">
        <v>79</v>
      </c>
      <c r="D154" s="96"/>
      <c r="E154" s="19">
        <f>E84</f>
        <v>242</v>
      </c>
      <c r="F154" s="19">
        <f>F84</f>
        <v>516</v>
      </c>
      <c r="G154" s="19">
        <f>G84</f>
        <v>710</v>
      </c>
      <c r="H154" s="146">
        <f t="shared" si="93"/>
        <v>1135.2</v>
      </c>
      <c r="I154" s="19">
        <f t="shared" si="93"/>
        <v>1436.028</v>
      </c>
      <c r="J154" s="19">
        <f t="shared" si="93"/>
        <v>1828.12608</v>
      </c>
      <c r="K154" s="19">
        <f t="shared" si="93"/>
        <v>2285.1576</v>
      </c>
      <c r="L154" s="19">
        <f t="shared" si="93"/>
        <v>2899.4079628799996</v>
      </c>
      <c r="M154" s="19">
        <f t="shared" ref="M154" si="96">M84</f>
        <v>3670.3159339334402</v>
      </c>
    </row>
    <row r="155" spans="1:13" x14ac:dyDescent="0.25">
      <c r="A155" s="7" t="s">
        <v>130</v>
      </c>
      <c r="E155" s="28">
        <v>73</v>
      </c>
      <c r="F155" s="28">
        <v>398</v>
      </c>
      <c r="G155" s="12">
        <v>1040</v>
      </c>
      <c r="H155" s="28">
        <v>0</v>
      </c>
      <c r="I155" s="26">
        <f t="shared" ref="I155:M156" si="97">H155</f>
        <v>0</v>
      </c>
      <c r="J155" s="26">
        <f t="shared" si="97"/>
        <v>0</v>
      </c>
      <c r="K155" s="26">
        <f t="shared" si="97"/>
        <v>0</v>
      </c>
      <c r="L155" s="104">
        <f t="shared" si="97"/>
        <v>0</v>
      </c>
      <c r="M155" s="104">
        <f t="shared" si="97"/>
        <v>0</v>
      </c>
    </row>
    <row r="156" spans="1:13" x14ac:dyDescent="0.25">
      <c r="A156" s="105" t="s">
        <v>131</v>
      </c>
      <c r="D156" s="121"/>
      <c r="E156" s="28">
        <v>12</v>
      </c>
      <c r="F156" s="28">
        <v>22</v>
      </c>
      <c r="G156" s="12">
        <v>26</v>
      </c>
      <c r="H156" s="28">
        <v>0</v>
      </c>
      <c r="I156" s="26">
        <f t="shared" si="97"/>
        <v>0</v>
      </c>
      <c r="J156" s="26">
        <f t="shared" si="97"/>
        <v>0</v>
      </c>
      <c r="K156" s="26">
        <f t="shared" si="97"/>
        <v>0</v>
      </c>
      <c r="L156" s="104">
        <f t="shared" si="97"/>
        <v>0</v>
      </c>
      <c r="M156" s="104">
        <f t="shared" si="97"/>
        <v>0</v>
      </c>
    </row>
    <row r="157" spans="1:13" x14ac:dyDescent="0.25">
      <c r="A157" s="101" t="s">
        <v>132</v>
      </c>
      <c r="D157" s="121"/>
      <c r="G157" s="22"/>
      <c r="L157" s="22"/>
      <c r="M157" s="22"/>
    </row>
    <row r="158" spans="1:13" x14ac:dyDescent="0.25">
      <c r="A158" s="25" t="s">
        <v>97</v>
      </c>
      <c r="D158" s="96"/>
      <c r="E158" s="28">
        <v>-385</v>
      </c>
      <c r="F158" s="28">
        <v>-785</v>
      </c>
      <c r="G158" s="104">
        <f t="shared" ref="G158:M159" si="98">F109-G109</f>
        <v>-939</v>
      </c>
      <c r="H158" s="147">
        <f t="shared" si="98"/>
        <v>-672.19999999999982</v>
      </c>
      <c r="I158" s="26">
        <f t="shared" si="98"/>
        <v>-846.97199999999975</v>
      </c>
      <c r="J158" s="26">
        <f t="shared" si="98"/>
        <v>-1073.6378400000003</v>
      </c>
      <c r="K158" s="26">
        <f t="shared" si="98"/>
        <v>-1190.7619679999989</v>
      </c>
      <c r="L158" s="104">
        <f t="shared" si="98"/>
        <v>-1571.8057977599983</v>
      </c>
      <c r="M158" s="104">
        <f t="shared" si="98"/>
        <v>-1908.886695661442</v>
      </c>
    </row>
    <row r="159" spans="1:13" x14ac:dyDescent="0.25">
      <c r="A159" s="25" t="s">
        <v>98</v>
      </c>
      <c r="D159" s="102"/>
      <c r="E159" s="28">
        <v>-76</v>
      </c>
      <c r="F159" s="28">
        <v>-163</v>
      </c>
      <c r="G159" s="104">
        <f t="shared" si="98"/>
        <v>54</v>
      </c>
      <c r="H159" s="147">
        <f t="shared" si="98"/>
        <v>28.537440932963023</v>
      </c>
      <c r="I159" s="26">
        <f t="shared" si="98"/>
        <v>-83.948227659826557</v>
      </c>
      <c r="J159" s="26">
        <f t="shared" si="98"/>
        <v>-108.18465114711807</v>
      </c>
      <c r="K159" s="26">
        <f t="shared" si="98"/>
        <v>-120.43451002856261</v>
      </c>
      <c r="L159" s="104">
        <f t="shared" si="98"/>
        <v>-152.56862702254739</v>
      </c>
      <c r="M159" s="104">
        <f t="shared" si="98"/>
        <v>-187.68871295402357</v>
      </c>
    </row>
    <row r="160" spans="1:13" x14ac:dyDescent="0.25">
      <c r="A160" s="25" t="s">
        <v>100</v>
      </c>
      <c r="D160" s="96"/>
      <c r="E160" s="28">
        <v>-1279</v>
      </c>
      <c r="F160" s="28">
        <v>-274</v>
      </c>
      <c r="G160" s="104">
        <f t="shared" ref="G160:M160" si="99">F112-G112</f>
        <v>780</v>
      </c>
      <c r="H160" s="147">
        <f t="shared" si="99"/>
        <v>0</v>
      </c>
      <c r="I160" s="26">
        <f t="shared" si="99"/>
        <v>0</v>
      </c>
      <c r="J160" s="26">
        <f t="shared" si="99"/>
        <v>0</v>
      </c>
      <c r="K160" s="26">
        <f t="shared" si="99"/>
        <v>0</v>
      </c>
      <c r="L160" s="104">
        <f t="shared" si="99"/>
        <v>0</v>
      </c>
      <c r="M160" s="104">
        <f t="shared" si="99"/>
        <v>0</v>
      </c>
    </row>
    <row r="161" spans="1:13" x14ac:dyDescent="0.25">
      <c r="A161" s="130" t="s">
        <v>107</v>
      </c>
      <c r="D161" s="121"/>
      <c r="E161" s="28">
        <v>285</v>
      </c>
      <c r="F161" s="28">
        <v>289</v>
      </c>
      <c r="G161" s="104">
        <f t="shared" ref="G161:M161" si="100">F120-G120</f>
        <v>-1172</v>
      </c>
      <c r="H161" s="147">
        <f t="shared" si="100"/>
        <v>0</v>
      </c>
      <c r="I161" s="26">
        <f t="shared" si="100"/>
        <v>0</v>
      </c>
      <c r="J161" s="26">
        <f t="shared" si="100"/>
        <v>0</v>
      </c>
      <c r="K161" s="26">
        <f t="shared" si="100"/>
        <v>0</v>
      </c>
      <c r="L161" s="104">
        <f t="shared" si="100"/>
        <v>0</v>
      </c>
      <c r="M161" s="104">
        <f t="shared" si="100"/>
        <v>0</v>
      </c>
    </row>
    <row r="162" spans="1:13" x14ac:dyDescent="0.25">
      <c r="A162" s="25" t="s">
        <v>111</v>
      </c>
      <c r="D162" s="96"/>
      <c r="E162" s="28">
        <v>1494</v>
      </c>
      <c r="F162" s="28">
        <v>596</v>
      </c>
      <c r="G162" s="104">
        <f t="shared" ref="G162:M162" si="101">G125-F125</f>
        <v>81</v>
      </c>
      <c r="H162" s="147">
        <f t="shared" si="101"/>
        <v>-351.29276190225482</v>
      </c>
      <c r="I162" s="26">
        <f t="shared" si="101"/>
        <v>1033.3934574125024</v>
      </c>
      <c r="J162" s="26">
        <f t="shared" si="101"/>
        <v>1331.7411671978207</v>
      </c>
      <c r="K162" s="26">
        <f t="shared" si="101"/>
        <v>1482.535583890065</v>
      </c>
      <c r="L162" s="104">
        <f t="shared" si="101"/>
        <v>1878.1030328643683</v>
      </c>
      <c r="M162" s="104">
        <f t="shared" si="101"/>
        <v>2310.4274313307378</v>
      </c>
    </row>
    <row r="163" spans="1:13" x14ac:dyDescent="0.25">
      <c r="A163" s="25" t="s">
        <v>113</v>
      </c>
      <c r="D163" s="121"/>
      <c r="E163" s="28">
        <v>566</v>
      </c>
      <c r="F163" s="28">
        <v>718</v>
      </c>
      <c r="G163" s="104">
        <f t="shared" ref="G163:M163" si="102">G127-F127+G131-F131</f>
        <v>521</v>
      </c>
      <c r="H163" s="147">
        <f t="shared" si="102"/>
        <v>581.19999999999982</v>
      </c>
      <c r="I163" s="26">
        <f t="shared" si="102"/>
        <v>732.31200000000024</v>
      </c>
      <c r="J163" s="26">
        <f t="shared" si="102"/>
        <v>928.29264000000012</v>
      </c>
      <c r="K163" s="26">
        <f t="shared" si="102"/>
        <v>1029.5609279999985</v>
      </c>
      <c r="L163" s="104">
        <f t="shared" si="102"/>
        <v>1359.0204249599994</v>
      </c>
      <c r="M163" s="104">
        <f t="shared" si="102"/>
        <v>1650.468532458242</v>
      </c>
    </row>
    <row r="164" spans="1:13" x14ac:dyDescent="0.25">
      <c r="A164" s="25" t="s">
        <v>133</v>
      </c>
      <c r="E164" s="28">
        <v>716</v>
      </c>
      <c r="F164" s="28">
        <v>1664</v>
      </c>
      <c r="G164" s="104">
        <f t="shared" ref="G164:M164" si="103">G126-F126+G133-F133</f>
        <v>1385</v>
      </c>
      <c r="H164" s="147">
        <f t="shared" si="103"/>
        <v>-461.42228961334376</v>
      </c>
      <c r="I164" s="26">
        <f t="shared" si="103"/>
        <v>766.72263957543692</v>
      </c>
      <c r="J164" s="26">
        <f t="shared" si="103"/>
        <v>781.13485522971951</v>
      </c>
      <c r="K164" s="26">
        <f t="shared" si="103"/>
        <v>1027.728407566944</v>
      </c>
      <c r="L164" s="104">
        <f t="shared" si="103"/>
        <v>1312.5559948069249</v>
      </c>
      <c r="M164" s="104">
        <f t="shared" si="103"/>
        <v>1540.4457465303058</v>
      </c>
    </row>
    <row r="165" spans="1:13" x14ac:dyDescent="0.25">
      <c r="A165" s="99" t="s">
        <v>134</v>
      </c>
      <c r="B165" s="33"/>
      <c r="C165" s="33"/>
      <c r="D165" s="32"/>
      <c r="E165" s="32">
        <f t="shared" ref="E165:L165" si="104">SUM(E158:E164)+SUM(E151:E156)</f>
        <v>5792</v>
      </c>
      <c r="F165" s="32">
        <f t="shared" si="104"/>
        <v>9905</v>
      </c>
      <c r="G165" s="100">
        <f t="shared" si="104"/>
        <v>11550</v>
      </c>
      <c r="H165" s="148">
        <f t="shared" si="104"/>
        <v>18138.119154093733</v>
      </c>
      <c r="I165" s="32">
        <f t="shared" si="104"/>
        <v>24838.464978119653</v>
      </c>
      <c r="J165" s="32">
        <f t="shared" si="104"/>
        <v>31065.268039435963</v>
      </c>
      <c r="K165" s="32">
        <f t="shared" si="104"/>
        <v>37413.941089018437</v>
      </c>
      <c r="L165" s="100">
        <f t="shared" si="104"/>
        <v>46970.458463562391</v>
      </c>
      <c r="M165" s="100">
        <f t="shared" ref="M165" si="105">SUM(M158:M164)+SUM(M151:M156)</f>
        <v>57051.983969025125</v>
      </c>
    </row>
    <row r="166" spans="1:13" x14ac:dyDescent="0.25">
      <c r="A166" s="25"/>
      <c r="G166" s="22"/>
      <c r="H166" s="26"/>
      <c r="L166" s="22"/>
      <c r="M166" s="22"/>
    </row>
    <row r="167" spans="1:13" x14ac:dyDescent="0.25">
      <c r="A167" s="114" t="s">
        <v>135</v>
      </c>
      <c r="B167" s="115"/>
      <c r="C167" s="115"/>
      <c r="D167" s="149"/>
      <c r="G167" s="150"/>
      <c r="L167" s="22"/>
      <c r="M167" s="22"/>
    </row>
    <row r="168" spans="1:13" x14ac:dyDescent="0.25">
      <c r="A168" s="105" t="s">
        <v>136</v>
      </c>
      <c r="D168" s="151"/>
      <c r="E168" s="28">
        <v>-11719</v>
      </c>
      <c r="F168" s="28">
        <v>-22965</v>
      </c>
      <c r="G168" s="12">
        <v>-46724</v>
      </c>
      <c r="H168" s="28">
        <v>0</v>
      </c>
      <c r="I168" s="26">
        <f>H168</f>
        <v>0</v>
      </c>
      <c r="J168" s="26">
        <f>I168</f>
        <v>0</v>
      </c>
      <c r="K168" s="26">
        <f>J168</f>
        <v>0</v>
      </c>
      <c r="L168" s="104">
        <f>K168</f>
        <v>0</v>
      </c>
      <c r="M168" s="104">
        <f>L168</f>
        <v>0</v>
      </c>
    </row>
    <row r="169" spans="1:13" x14ac:dyDescent="0.25">
      <c r="A169" s="105" t="s">
        <v>137</v>
      </c>
      <c r="E169" s="26">
        <f>6483+2941</f>
        <v>9424</v>
      </c>
      <c r="F169" s="26">
        <f>11804+4439</f>
        <v>16243</v>
      </c>
      <c r="G169" s="104">
        <f>19790+10888</f>
        <v>30678</v>
      </c>
      <c r="H169" s="28">
        <v>0</v>
      </c>
      <c r="I169" s="26">
        <f t="shared" ref="I169:M173" si="106">H169</f>
        <v>0</v>
      </c>
      <c r="J169" s="26">
        <f t="shared" si="106"/>
        <v>0</v>
      </c>
      <c r="K169" s="26">
        <f t="shared" si="106"/>
        <v>0</v>
      </c>
      <c r="L169" s="104">
        <f t="shared" si="106"/>
        <v>0</v>
      </c>
      <c r="M169" s="104">
        <f t="shared" si="106"/>
        <v>0</v>
      </c>
    </row>
    <row r="170" spans="1:13" x14ac:dyDescent="0.25">
      <c r="A170" s="105" t="s">
        <v>138</v>
      </c>
      <c r="E170" s="28">
        <v>-17</v>
      </c>
      <c r="F170" s="28">
        <v>-38</v>
      </c>
      <c r="G170" s="12">
        <v>-101</v>
      </c>
      <c r="H170" s="28">
        <v>0</v>
      </c>
      <c r="I170" s="26">
        <f t="shared" si="106"/>
        <v>0</v>
      </c>
      <c r="J170" s="26">
        <f t="shared" si="106"/>
        <v>0</v>
      </c>
      <c r="K170" s="26">
        <f t="shared" si="106"/>
        <v>0</v>
      </c>
      <c r="L170" s="104">
        <f t="shared" si="106"/>
        <v>0</v>
      </c>
      <c r="M170" s="104">
        <f t="shared" si="106"/>
        <v>0</v>
      </c>
    </row>
    <row r="171" spans="1:13" x14ac:dyDescent="0.25">
      <c r="A171" s="105" t="s">
        <v>139</v>
      </c>
      <c r="E171" s="28">
        <v>-735</v>
      </c>
      <c r="F171" s="28">
        <v>-1091</v>
      </c>
      <c r="G171" s="12">
        <v>-1144</v>
      </c>
      <c r="H171" s="147">
        <f t="shared" ref="H171:M171" si="107">-H69*H74</f>
        <v>-1372.8</v>
      </c>
      <c r="I171" s="26">
        <f t="shared" si="107"/>
        <v>-1661.088</v>
      </c>
      <c r="J171" s="26">
        <f t="shared" si="107"/>
        <v>-2026.52736</v>
      </c>
      <c r="K171" s="26">
        <f t="shared" si="107"/>
        <v>-2431.8328319999996</v>
      </c>
      <c r="L171" s="104">
        <f t="shared" si="107"/>
        <v>-2966.8360550399993</v>
      </c>
      <c r="M171" s="104">
        <f t="shared" si="107"/>
        <v>-3616.5731510937599</v>
      </c>
    </row>
    <row r="172" spans="1:13" x14ac:dyDescent="0.25">
      <c r="A172" s="105" t="s">
        <v>140</v>
      </c>
      <c r="E172" s="28">
        <v>-251</v>
      </c>
      <c r="F172" s="28">
        <v>-108</v>
      </c>
      <c r="G172" s="12">
        <v>-69</v>
      </c>
      <c r="H172" s="28">
        <v>0</v>
      </c>
      <c r="I172" s="26">
        <f t="shared" si="106"/>
        <v>0</v>
      </c>
      <c r="J172" s="26">
        <f t="shared" si="106"/>
        <v>0</v>
      </c>
      <c r="K172" s="26">
        <f t="shared" si="106"/>
        <v>0</v>
      </c>
      <c r="L172" s="104">
        <f t="shared" si="106"/>
        <v>0</v>
      </c>
      <c r="M172" s="104">
        <f t="shared" si="106"/>
        <v>0</v>
      </c>
    </row>
    <row r="173" spans="1:13" x14ac:dyDescent="0.25">
      <c r="A173" s="105" t="s">
        <v>141</v>
      </c>
      <c r="E173" s="28">
        <v>49</v>
      </c>
      <c r="F173" s="28">
        <f>-10-220</f>
        <v>-230</v>
      </c>
      <c r="G173" s="12">
        <v>-74</v>
      </c>
      <c r="H173" s="28">
        <v>0</v>
      </c>
      <c r="I173" s="26">
        <f t="shared" si="106"/>
        <v>0</v>
      </c>
      <c r="J173" s="26">
        <f t="shared" si="106"/>
        <v>0</v>
      </c>
      <c r="K173" s="26">
        <f t="shared" si="106"/>
        <v>0</v>
      </c>
      <c r="L173" s="104">
        <f t="shared" si="106"/>
        <v>0</v>
      </c>
      <c r="M173" s="104">
        <f t="shared" si="106"/>
        <v>0</v>
      </c>
    </row>
    <row r="174" spans="1:13" x14ac:dyDescent="0.25">
      <c r="A174" s="99" t="s">
        <v>142</v>
      </c>
      <c r="B174" s="33"/>
      <c r="C174" s="33"/>
      <c r="D174" s="32"/>
      <c r="E174" s="32">
        <f t="shared" ref="E174:L174" si="108">SUM(E168:E173)</f>
        <v>-3249</v>
      </c>
      <c r="F174" s="32">
        <f t="shared" si="108"/>
        <v>-8189</v>
      </c>
      <c r="G174" s="100">
        <f t="shared" si="108"/>
        <v>-17434</v>
      </c>
      <c r="H174" s="32">
        <f t="shared" si="108"/>
        <v>-1372.8</v>
      </c>
      <c r="I174" s="32">
        <f t="shared" si="108"/>
        <v>-1661.088</v>
      </c>
      <c r="J174" s="32">
        <f t="shared" si="108"/>
        <v>-2026.52736</v>
      </c>
      <c r="K174" s="32">
        <f t="shared" si="108"/>
        <v>-2431.8328319999996</v>
      </c>
      <c r="L174" s="100">
        <f t="shared" si="108"/>
        <v>-2966.8360550399993</v>
      </c>
      <c r="M174" s="100">
        <f t="shared" ref="M174" si="109">SUM(M168:M173)</f>
        <v>-3616.5731510937599</v>
      </c>
    </row>
    <row r="175" spans="1:13" x14ac:dyDescent="0.25">
      <c r="A175" s="105"/>
      <c r="G175" s="22"/>
      <c r="H175" s="26"/>
      <c r="L175" s="22"/>
      <c r="M175" s="22"/>
    </row>
    <row r="176" spans="1:13" x14ac:dyDescent="0.25">
      <c r="A176" s="114" t="s">
        <v>143</v>
      </c>
      <c r="B176" s="115"/>
      <c r="C176" s="115"/>
      <c r="D176" s="115"/>
      <c r="G176" s="150"/>
      <c r="L176" s="22"/>
      <c r="M176" s="22"/>
    </row>
    <row r="177" spans="1:13" x14ac:dyDescent="0.25">
      <c r="A177" s="7" t="s">
        <v>144</v>
      </c>
      <c r="E177" s="28">
        <v>365</v>
      </c>
      <c r="F177" s="28">
        <v>483</v>
      </c>
      <c r="G177" s="12">
        <v>475</v>
      </c>
      <c r="H177" s="28">
        <v>0</v>
      </c>
      <c r="I177" s="26">
        <f>H177</f>
        <v>0</v>
      </c>
      <c r="J177" s="26">
        <f>I177</f>
        <v>0</v>
      </c>
      <c r="K177" s="26">
        <f>J177</f>
        <v>0</v>
      </c>
      <c r="L177" s="104">
        <f>K177</f>
        <v>0</v>
      </c>
      <c r="M177" s="104">
        <f>L177</f>
        <v>0</v>
      </c>
    </row>
    <row r="178" spans="1:13" x14ac:dyDescent="0.25">
      <c r="A178" s="7" t="s">
        <v>145</v>
      </c>
      <c r="E178" s="28">
        <v>0</v>
      </c>
      <c r="F178" s="28">
        <v>0</v>
      </c>
      <c r="G178" s="12">
        <v>0</v>
      </c>
      <c r="H178" s="28">
        <v>0</v>
      </c>
      <c r="I178" s="26">
        <f t="shared" ref="I178:M182" si="110">H178</f>
        <v>0</v>
      </c>
      <c r="J178" s="26">
        <f t="shared" si="110"/>
        <v>0</v>
      </c>
      <c r="K178" s="26">
        <f t="shared" si="110"/>
        <v>0</v>
      </c>
      <c r="L178" s="104">
        <f t="shared" si="110"/>
        <v>0</v>
      </c>
      <c r="M178" s="104">
        <f t="shared" si="110"/>
        <v>0</v>
      </c>
    </row>
    <row r="179" spans="1:13" x14ac:dyDescent="0.25">
      <c r="A179" s="7" t="s">
        <v>146</v>
      </c>
      <c r="E179" s="28">
        <v>0</v>
      </c>
      <c r="F179" s="28">
        <v>0</v>
      </c>
      <c r="G179" s="12">
        <v>0</v>
      </c>
      <c r="H179" s="28">
        <v>0</v>
      </c>
      <c r="I179" s="26">
        <f t="shared" si="110"/>
        <v>0</v>
      </c>
      <c r="J179" s="26">
        <f t="shared" si="110"/>
        <v>0</v>
      </c>
      <c r="K179" s="26">
        <f t="shared" si="110"/>
        <v>0</v>
      </c>
      <c r="L179" s="104">
        <f t="shared" si="110"/>
        <v>0</v>
      </c>
      <c r="M179" s="104">
        <f t="shared" si="110"/>
        <v>0</v>
      </c>
    </row>
    <row r="180" spans="1:13" x14ac:dyDescent="0.25">
      <c r="A180" s="7" t="s">
        <v>147</v>
      </c>
      <c r="E180" s="28">
        <v>377</v>
      </c>
      <c r="F180" s="28">
        <v>757</v>
      </c>
      <c r="G180" s="12">
        <v>270</v>
      </c>
      <c r="H180" s="28">
        <v>0</v>
      </c>
      <c r="I180" s="26">
        <f t="shared" si="110"/>
        <v>0</v>
      </c>
      <c r="J180" s="26">
        <f t="shared" si="110"/>
        <v>0</v>
      </c>
      <c r="K180" s="26">
        <f t="shared" si="110"/>
        <v>0</v>
      </c>
      <c r="L180" s="104">
        <f t="shared" si="110"/>
        <v>0</v>
      </c>
      <c r="M180" s="104">
        <f t="shared" si="110"/>
        <v>0</v>
      </c>
    </row>
    <row r="181" spans="1:13" x14ac:dyDescent="0.25">
      <c r="A181" s="7" t="s">
        <v>148</v>
      </c>
      <c r="E181" s="28">
        <v>0</v>
      </c>
      <c r="F181" s="28">
        <v>0</v>
      </c>
      <c r="G181" s="12">
        <v>0</v>
      </c>
      <c r="H181" s="26">
        <f t="shared" ref="H181:M181" si="111">IF(H22=Debt_Date,Debt_Amount,0)</f>
        <v>0</v>
      </c>
      <c r="I181" s="26">
        <f t="shared" si="111"/>
        <v>0</v>
      </c>
      <c r="J181" s="26">
        <f t="shared" si="111"/>
        <v>0</v>
      </c>
      <c r="K181" s="26">
        <f t="shared" si="111"/>
        <v>0</v>
      </c>
      <c r="L181" s="104">
        <f t="shared" si="111"/>
        <v>0</v>
      </c>
      <c r="M181" s="104">
        <f t="shared" si="111"/>
        <v>0</v>
      </c>
    </row>
    <row r="182" spans="1:13" x14ac:dyDescent="0.25">
      <c r="A182" s="7" t="s">
        <v>149</v>
      </c>
      <c r="E182" s="28">
        <v>-3</v>
      </c>
      <c r="F182" s="28">
        <v>-124</v>
      </c>
      <c r="G182" s="12">
        <v>-82</v>
      </c>
      <c r="H182" s="28">
        <v>0</v>
      </c>
      <c r="I182" s="26">
        <f t="shared" si="110"/>
        <v>0</v>
      </c>
      <c r="J182" s="26">
        <f t="shared" si="110"/>
        <v>0</v>
      </c>
      <c r="K182" s="26">
        <f t="shared" si="110"/>
        <v>0</v>
      </c>
      <c r="L182" s="104">
        <f t="shared" si="110"/>
        <v>0</v>
      </c>
      <c r="M182" s="104">
        <f t="shared" si="110"/>
        <v>0</v>
      </c>
    </row>
    <row r="183" spans="1:13" x14ac:dyDescent="0.25">
      <c r="A183" s="99" t="s">
        <v>150</v>
      </c>
      <c r="B183" s="33"/>
      <c r="C183" s="33"/>
      <c r="D183" s="32"/>
      <c r="E183" s="32">
        <f t="shared" ref="E183:L183" si="112">SUM(E177:E182)</f>
        <v>739</v>
      </c>
      <c r="F183" s="32">
        <f t="shared" si="112"/>
        <v>1116</v>
      </c>
      <c r="G183" s="100">
        <f t="shared" si="112"/>
        <v>663</v>
      </c>
      <c r="H183" s="32">
        <f t="shared" si="112"/>
        <v>0</v>
      </c>
      <c r="I183" s="32">
        <f t="shared" si="112"/>
        <v>0</v>
      </c>
      <c r="J183" s="32">
        <f t="shared" si="112"/>
        <v>0</v>
      </c>
      <c r="K183" s="32">
        <f t="shared" si="112"/>
        <v>0</v>
      </c>
      <c r="L183" s="100">
        <f t="shared" si="112"/>
        <v>0</v>
      </c>
      <c r="M183" s="100">
        <f t="shared" ref="M183" si="113">SUM(M177:M182)</f>
        <v>0</v>
      </c>
    </row>
    <row r="184" spans="1:13" x14ac:dyDescent="0.25">
      <c r="A184" s="7"/>
      <c r="G184" s="22"/>
      <c r="L184" s="22"/>
      <c r="M184" s="22"/>
    </row>
    <row r="185" spans="1:13" x14ac:dyDescent="0.25">
      <c r="A185" s="9" t="s">
        <v>151</v>
      </c>
      <c r="E185" s="96">
        <f t="shared" ref="E185:L185" si="114">E183+E174+E165</f>
        <v>3282</v>
      </c>
      <c r="F185" s="96">
        <f t="shared" si="114"/>
        <v>2832</v>
      </c>
      <c r="G185" s="97">
        <f t="shared" si="114"/>
        <v>-5221</v>
      </c>
      <c r="H185" s="96">
        <f t="shared" si="114"/>
        <v>16765.319154093733</v>
      </c>
      <c r="I185" s="96">
        <f t="shared" si="114"/>
        <v>23177.376978119653</v>
      </c>
      <c r="J185" s="96">
        <f t="shared" si="114"/>
        <v>29038.740679435963</v>
      </c>
      <c r="K185" s="96">
        <f t="shared" si="114"/>
        <v>34982.108257018437</v>
      </c>
      <c r="L185" s="97">
        <f t="shared" si="114"/>
        <v>44003.622408522395</v>
      </c>
      <c r="M185" s="97">
        <f t="shared" ref="M185" si="115">M183+M174+M165</f>
        <v>53435.410817931363</v>
      </c>
    </row>
    <row r="186" spans="1:13" x14ac:dyDescent="0.25">
      <c r="A186" s="53" t="s">
        <v>152</v>
      </c>
      <c r="B186" s="54"/>
      <c r="C186" s="54"/>
      <c r="D186" s="54"/>
      <c r="E186" s="152">
        <v>9352</v>
      </c>
      <c r="F186" s="153">
        <f>E186+F185</f>
        <v>12184</v>
      </c>
      <c r="G186" s="154">
        <f t="shared" ref="G186:M186" si="116">F107+G185</f>
        <v>6963</v>
      </c>
      <c r="H186" s="153">
        <f t="shared" si="116"/>
        <v>23728.319154093733</v>
      </c>
      <c r="I186" s="153">
        <f t="shared" si="116"/>
        <v>46905.696132213387</v>
      </c>
      <c r="J186" s="153">
        <f t="shared" si="116"/>
        <v>75944.436811649357</v>
      </c>
      <c r="K186" s="153">
        <f t="shared" si="116"/>
        <v>110926.54506866779</v>
      </c>
      <c r="L186" s="154">
        <f t="shared" si="116"/>
        <v>154930.1674771902</v>
      </c>
      <c r="M186" s="154">
        <f t="shared" si="116"/>
        <v>208365.57829512155</v>
      </c>
    </row>
  </sheetData>
  <mergeCells count="29">
    <mergeCell ref="O42:P42"/>
    <mergeCell ref="O24:P24"/>
    <mergeCell ref="O30:P30"/>
    <mergeCell ref="O36:P36"/>
    <mergeCell ref="A1:L1"/>
    <mergeCell ref="O48:P48"/>
    <mergeCell ref="O52:P52"/>
    <mergeCell ref="O53:P53"/>
    <mergeCell ref="O51:P51"/>
    <mergeCell ref="O50:P50"/>
    <mergeCell ref="O49:P49"/>
    <mergeCell ref="O55:P55"/>
    <mergeCell ref="O56:P56"/>
    <mergeCell ref="O57:P57"/>
    <mergeCell ref="O58:P58"/>
    <mergeCell ref="O59:P59"/>
    <mergeCell ref="O60:P60"/>
    <mergeCell ref="O62:P62"/>
    <mergeCell ref="O63:P63"/>
    <mergeCell ref="O64:P64"/>
    <mergeCell ref="O65:P65"/>
    <mergeCell ref="O72:P72"/>
    <mergeCell ref="O73:P73"/>
    <mergeCell ref="O74:P74"/>
    <mergeCell ref="O66:P66"/>
    <mergeCell ref="O67:P67"/>
    <mergeCell ref="O69:P69"/>
    <mergeCell ref="O70:P70"/>
    <mergeCell ref="O71:P71"/>
  </mergeCells>
  <phoneticPr fontId="30" type="noConversion"/>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Exe Sum &amp; Dashboard</vt:lpstr>
      <vt:lpstr>Memo</vt:lpstr>
      <vt:lpstr>FMSA</vt:lpstr>
      <vt:lpstr>FMSA!Company_Name</vt:lpstr>
      <vt:lpstr>FMSA!Days_In_Year</vt:lpstr>
      <vt:lpstr>FMSA!Debt_Amount</vt:lpstr>
      <vt:lpstr>FMSA!Debt_Date</vt:lpstr>
      <vt:lpstr>FMSA!Enterprise_Value</vt:lpstr>
      <vt:lpstr>FMSA!Equity_Value</vt:lpstr>
      <vt:lpstr>FMSA!Hist_Year</vt:lpstr>
      <vt:lpstr>'Exe Sum &amp; Dashboard'!Print_Area</vt:lpstr>
      <vt:lpstr>FMSA!Share_Price</vt:lpstr>
      <vt:lpstr>FMSA!Tax_Rate</vt:lpstr>
      <vt:lpstr>FMSA!Units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Nugent</dc:creator>
  <cp:lastModifiedBy>Andres Duarte</cp:lastModifiedBy>
  <cp:lastPrinted>2026-03-08T08:24:19Z</cp:lastPrinted>
  <dcterms:created xsi:type="dcterms:W3CDTF">2019-10-12T15:38:14Z</dcterms:created>
  <dcterms:modified xsi:type="dcterms:W3CDTF">2026-03-08T08:24:39Z</dcterms:modified>
</cp:coreProperties>
</file>